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35" yWindow="30" windowWidth="6570" windowHeight="8220"/>
  </bookViews>
  <sheets>
    <sheet name="Лист1" sheetId="1" r:id="rId1"/>
  </sheets>
  <definedNames>
    <definedName name="_xlnm.Print_Titles" localSheetId="0">Лист1!$2:$3</definedName>
    <definedName name="_xlnm.Print_Area" localSheetId="0">Лист1!$A$1:$I$413</definedName>
  </definedNames>
  <calcPr calcId="125725"/>
</workbook>
</file>

<file path=xl/calcChain.xml><?xml version="1.0" encoding="utf-8"?>
<calcChain xmlns="http://schemas.openxmlformats.org/spreadsheetml/2006/main">
  <c r="I323" i="1"/>
  <c r="H323"/>
  <c r="G323"/>
  <c r="F323"/>
  <c r="D323"/>
  <c r="C323"/>
  <c r="D314"/>
  <c r="D307" s="1"/>
  <c r="C307"/>
  <c r="I194" l="1"/>
  <c r="H194"/>
  <c r="G194"/>
  <c r="I193"/>
  <c r="H193"/>
  <c r="G193"/>
  <c r="I192"/>
  <c r="H192"/>
  <c r="G192"/>
  <c r="I191"/>
  <c r="H191"/>
  <c r="G191"/>
  <c r="I189"/>
  <c r="H189"/>
  <c r="G189"/>
  <c r="I188"/>
  <c r="H188"/>
  <c r="G188"/>
  <c r="I187"/>
  <c r="H187"/>
  <c r="G187"/>
  <c r="I184"/>
  <c r="I185" s="1"/>
  <c r="H184"/>
  <c r="H185" s="1"/>
  <c r="G184"/>
  <c r="G185" s="1"/>
  <c r="I182"/>
  <c r="I183" s="1"/>
  <c r="H182"/>
  <c r="H183" s="1"/>
  <c r="G182"/>
  <c r="G183" s="1"/>
  <c r="F177"/>
  <c r="E177"/>
  <c r="D177"/>
  <c r="C177"/>
  <c r="I175"/>
  <c r="I176" s="1"/>
  <c r="H175"/>
  <c r="H176" s="1"/>
  <c r="G175"/>
  <c r="G176" s="1"/>
  <c r="I173"/>
  <c r="I174" s="1"/>
  <c r="H173"/>
  <c r="H174" s="1"/>
  <c r="G173"/>
  <c r="G174" s="1"/>
  <c r="I171"/>
  <c r="I172" s="1"/>
  <c r="H171"/>
  <c r="H172" s="1"/>
  <c r="G171"/>
  <c r="G172" s="1"/>
  <c r="F168"/>
  <c r="E168"/>
  <c r="D168"/>
  <c r="C168"/>
  <c r="I166"/>
  <c r="I167" s="1"/>
  <c r="H166"/>
  <c r="H167" s="1"/>
  <c r="G166"/>
  <c r="G167" s="1"/>
  <c r="I164"/>
  <c r="I165" s="1"/>
  <c r="H164"/>
  <c r="H165" s="1"/>
  <c r="G164"/>
  <c r="G165" s="1"/>
  <c r="I162"/>
  <c r="I163" s="1"/>
  <c r="H162"/>
  <c r="H163" s="1"/>
  <c r="G162"/>
  <c r="G163" s="1"/>
  <c r="F159"/>
  <c r="E159"/>
  <c r="D159"/>
  <c r="C159"/>
  <c r="I157"/>
  <c r="I158" s="1"/>
  <c r="H157"/>
  <c r="H158" s="1"/>
  <c r="G157"/>
  <c r="G158" s="1"/>
  <c r="I155"/>
  <c r="I156" s="1"/>
  <c r="H155"/>
  <c r="H156" s="1"/>
  <c r="G155"/>
  <c r="G156" s="1"/>
  <c r="I153"/>
  <c r="I154" s="1"/>
  <c r="H153"/>
  <c r="H154" s="1"/>
  <c r="G153"/>
  <c r="G154" s="1"/>
  <c r="F150"/>
  <c r="E150"/>
  <c r="D150"/>
  <c r="C150"/>
  <c r="I148"/>
  <c r="I149" s="1"/>
  <c r="H148"/>
  <c r="H149" s="1"/>
  <c r="G148"/>
  <c r="G149" s="1"/>
  <c r="I146"/>
  <c r="I147" s="1"/>
  <c r="H146"/>
  <c r="H147" s="1"/>
  <c r="G146"/>
  <c r="G147" s="1"/>
  <c r="I144"/>
  <c r="I145" s="1"/>
  <c r="H144"/>
  <c r="H145" s="1"/>
  <c r="G144"/>
  <c r="G145" s="1"/>
  <c r="F141"/>
  <c r="E141"/>
  <c r="D141"/>
  <c r="C141"/>
  <c r="I137"/>
  <c r="I138" s="1"/>
  <c r="H137"/>
  <c r="H138" s="1"/>
  <c r="G137"/>
  <c r="G138" s="1"/>
  <c r="F134"/>
  <c r="E134"/>
  <c r="D134"/>
  <c r="C134"/>
  <c r="I132"/>
  <c r="H132"/>
  <c r="G132"/>
  <c r="F132"/>
  <c r="E132"/>
  <c r="I129"/>
  <c r="H129"/>
  <c r="G129"/>
  <c r="F129"/>
  <c r="E129"/>
  <c r="I126"/>
  <c r="H126"/>
  <c r="G126"/>
  <c r="F126"/>
  <c r="E126"/>
  <c r="I122"/>
  <c r="H122"/>
  <c r="G122"/>
  <c r="F122"/>
  <c r="E122"/>
  <c r="I119"/>
  <c r="H119"/>
  <c r="G119"/>
  <c r="F119"/>
  <c r="E119"/>
  <c r="I115"/>
  <c r="H115"/>
  <c r="G115"/>
  <c r="F115"/>
  <c r="E115"/>
  <c r="D115"/>
  <c r="C115"/>
  <c r="D305"/>
  <c r="C305"/>
  <c r="I304"/>
  <c r="H304"/>
  <c r="G304"/>
  <c r="F304"/>
  <c r="D303"/>
  <c r="C303"/>
  <c r="I301"/>
  <c r="H301"/>
  <c r="G301"/>
  <c r="F301"/>
  <c r="E301"/>
  <c r="D301"/>
  <c r="I298"/>
  <c r="H298"/>
  <c r="G298"/>
  <c r="F298"/>
  <c r="E298"/>
  <c r="D298"/>
  <c r="I295"/>
  <c r="H295"/>
  <c r="G295"/>
  <c r="F295"/>
  <c r="E295"/>
  <c r="C294"/>
  <c r="D295" s="1"/>
  <c r="I292"/>
  <c r="H292"/>
  <c r="G292"/>
  <c r="F292"/>
  <c r="E292"/>
  <c r="C291"/>
  <c r="D292" s="1"/>
  <c r="I283"/>
  <c r="H283"/>
  <c r="G283"/>
  <c r="F283"/>
  <c r="E283"/>
  <c r="D283"/>
  <c r="I280"/>
  <c r="H280"/>
  <c r="G280"/>
  <c r="F280"/>
  <c r="E280"/>
  <c r="D280"/>
  <c r="I277"/>
  <c r="H277"/>
  <c r="G277"/>
  <c r="F277"/>
  <c r="E277"/>
  <c r="D277"/>
  <c r="I274"/>
  <c r="H274"/>
  <c r="G274"/>
  <c r="F274"/>
  <c r="E274"/>
  <c r="C273"/>
  <c r="D274" s="1"/>
  <c r="I271"/>
  <c r="H271"/>
  <c r="G271"/>
  <c r="F271"/>
  <c r="E271"/>
  <c r="C270"/>
  <c r="D271" s="1"/>
  <c r="I268"/>
  <c r="H268"/>
  <c r="G268"/>
  <c r="F268"/>
  <c r="E268"/>
  <c r="D268"/>
  <c r="I263"/>
  <c r="H263"/>
  <c r="G263"/>
  <c r="F263"/>
  <c r="E263"/>
  <c r="I261"/>
  <c r="H261"/>
  <c r="G261"/>
  <c r="F261"/>
  <c r="E261"/>
  <c r="I256"/>
  <c r="H256"/>
  <c r="G256"/>
  <c r="F256"/>
  <c r="E256"/>
  <c r="E98"/>
  <c r="D98"/>
  <c r="E97"/>
  <c r="D97"/>
  <c r="I96"/>
  <c r="H96"/>
  <c r="H98" s="1"/>
  <c r="G96"/>
  <c r="G98" s="1"/>
  <c r="F96"/>
  <c r="F98" s="1"/>
  <c r="I94"/>
  <c r="H94"/>
  <c r="G94"/>
  <c r="F94"/>
  <c r="E94"/>
  <c r="D94"/>
  <c r="I93"/>
  <c r="H93"/>
  <c r="G93"/>
  <c r="F93"/>
  <c r="E93"/>
  <c r="D93"/>
  <c r="I88"/>
  <c r="H88"/>
  <c r="G88"/>
  <c r="F88"/>
  <c r="E88"/>
  <c r="D88"/>
  <c r="C77"/>
  <c r="I72"/>
  <c r="H72"/>
  <c r="G72"/>
  <c r="F72"/>
  <c r="E72"/>
  <c r="D72"/>
  <c r="I64"/>
  <c r="H64"/>
  <c r="G64"/>
  <c r="F64"/>
  <c r="E64"/>
  <c r="D64"/>
  <c r="I44"/>
  <c r="H44"/>
  <c r="G44"/>
  <c r="F44"/>
  <c r="E44"/>
  <c r="D44"/>
  <c r="I40"/>
  <c r="H40"/>
  <c r="G40"/>
  <c r="F40"/>
  <c r="E40"/>
  <c r="D40"/>
  <c r="I32"/>
  <c r="H32"/>
  <c r="G32"/>
  <c r="F32"/>
  <c r="E32"/>
  <c r="D32"/>
  <c r="I28"/>
  <c r="H28"/>
  <c r="G28"/>
  <c r="F28"/>
  <c r="E28"/>
  <c r="D28"/>
  <c r="I22"/>
  <c r="I65" s="1"/>
  <c r="H22"/>
  <c r="H73" s="1"/>
  <c r="G22"/>
  <c r="G65" s="1"/>
  <c r="F22"/>
  <c r="F65" s="1"/>
  <c r="E22"/>
  <c r="E73" s="1"/>
  <c r="D22"/>
  <c r="D77" s="1"/>
  <c r="F5"/>
  <c r="F24" s="1"/>
  <c r="D412"/>
  <c r="E401"/>
  <c r="D401"/>
  <c r="E400"/>
  <c r="D400"/>
  <c r="C400"/>
  <c r="E399"/>
  <c r="D399"/>
  <c r="C399"/>
  <c r="I397"/>
  <c r="H397"/>
  <c r="G397"/>
  <c r="F397"/>
  <c r="D397"/>
  <c r="C397"/>
  <c r="C401" s="1"/>
  <c r="I369"/>
  <c r="H369"/>
  <c r="G369"/>
  <c r="F369"/>
  <c r="E369"/>
  <c r="D369"/>
  <c r="C369"/>
  <c r="G252"/>
  <c r="F252"/>
  <c r="E252"/>
  <c r="I243"/>
  <c r="H243"/>
  <c r="G243"/>
  <c r="F243"/>
  <c r="E243"/>
  <c r="I240"/>
  <c r="H240"/>
  <c r="G240"/>
  <c r="F240"/>
  <c r="E240"/>
  <c r="I235"/>
  <c r="H235"/>
  <c r="G235"/>
  <c r="F235"/>
  <c r="E235"/>
  <c r="I232"/>
  <c r="H232"/>
  <c r="G232"/>
  <c r="F232"/>
  <c r="E232"/>
  <c r="I229"/>
  <c r="H229"/>
  <c r="G229"/>
  <c r="F229"/>
  <c r="E229"/>
  <c r="I226"/>
  <c r="H226"/>
  <c r="G226"/>
  <c r="F226"/>
  <c r="E226"/>
  <c r="I223"/>
  <c r="H223"/>
  <c r="G223"/>
  <c r="F223"/>
  <c r="E223"/>
  <c r="I220"/>
  <c r="H220"/>
  <c r="G220"/>
  <c r="I217"/>
  <c r="H217"/>
  <c r="G217"/>
  <c r="I214"/>
  <c r="H214"/>
  <c r="G214"/>
  <c r="F214"/>
  <c r="I211"/>
  <c r="H211"/>
  <c r="G211"/>
  <c r="F211"/>
  <c r="E211"/>
  <c r="I199"/>
  <c r="I245" s="1"/>
  <c r="H199"/>
  <c r="H197" s="1"/>
  <c r="G199"/>
  <c r="F199"/>
  <c r="F197" s="1"/>
  <c r="E199"/>
  <c r="E197" s="1"/>
  <c r="C350"/>
  <c r="D252"/>
  <c r="D243"/>
  <c r="D240"/>
  <c r="D232"/>
  <c r="D229"/>
  <c r="D226"/>
  <c r="D223"/>
  <c r="D213"/>
  <c r="E214" s="1"/>
  <c r="D217"/>
  <c r="D235"/>
  <c r="D236" s="1"/>
  <c r="C219"/>
  <c r="D220" s="1"/>
  <c r="C213"/>
  <c r="C210"/>
  <c r="D211" s="1"/>
  <c r="I116" l="1"/>
  <c r="I264"/>
  <c r="I141"/>
  <c r="I142" s="1"/>
  <c r="I159"/>
  <c r="D263"/>
  <c r="E264" s="1"/>
  <c r="I97"/>
  <c r="D304"/>
  <c r="I150"/>
  <c r="I151" s="1"/>
  <c r="G5"/>
  <c r="G24" s="1"/>
  <c r="F264"/>
  <c r="F116"/>
  <c r="G168"/>
  <c r="G169" s="1"/>
  <c r="G45"/>
  <c r="H264"/>
  <c r="G150"/>
  <c r="G151" s="1"/>
  <c r="D23"/>
  <c r="G245"/>
  <c r="I5"/>
  <c r="I24" s="1"/>
  <c r="G141"/>
  <c r="G142" s="1"/>
  <c r="G159"/>
  <c r="G160" s="1"/>
  <c r="I168"/>
  <c r="I169" s="1"/>
  <c r="G116"/>
  <c r="I33"/>
  <c r="F97"/>
  <c r="F11"/>
  <c r="F33"/>
  <c r="F73"/>
  <c r="G97"/>
  <c r="I98"/>
  <c r="I160"/>
  <c r="F45"/>
  <c r="G33"/>
  <c r="I45"/>
  <c r="C263"/>
  <c r="E304"/>
  <c r="E116"/>
  <c r="H116"/>
  <c r="H141"/>
  <c r="H142" s="1"/>
  <c r="H150"/>
  <c r="H151" s="1"/>
  <c r="H159"/>
  <c r="H160" s="1"/>
  <c r="H168"/>
  <c r="H169" s="1"/>
  <c r="G134"/>
  <c r="G135" s="1"/>
  <c r="H134"/>
  <c r="H135" s="1"/>
  <c r="I134"/>
  <c r="I135" s="1"/>
  <c r="G177"/>
  <c r="G178" s="1"/>
  <c r="H177"/>
  <c r="H178" s="1"/>
  <c r="I177"/>
  <c r="I178" s="1"/>
  <c r="G264"/>
  <c r="D5"/>
  <c r="D24" s="1"/>
  <c r="E23"/>
  <c r="H23"/>
  <c r="F29"/>
  <c r="D33"/>
  <c r="F41"/>
  <c r="D45"/>
  <c r="D73"/>
  <c r="H97"/>
  <c r="E29"/>
  <c r="H29"/>
  <c r="E41"/>
  <c r="H41"/>
  <c r="E65"/>
  <c r="H65"/>
  <c r="G73"/>
  <c r="I73"/>
  <c r="E77"/>
  <c r="F89"/>
  <c r="G23"/>
  <c r="I23"/>
  <c r="D29"/>
  <c r="D41"/>
  <c r="D65"/>
  <c r="E5"/>
  <c r="E24" s="1"/>
  <c r="H5"/>
  <c r="H24" s="1"/>
  <c r="F23"/>
  <c r="G29"/>
  <c r="I29"/>
  <c r="E33"/>
  <c r="H33"/>
  <c r="G41"/>
  <c r="I41"/>
  <c r="E45"/>
  <c r="H45"/>
  <c r="H236"/>
  <c r="C412"/>
  <c r="G197"/>
  <c r="H198" s="1"/>
  <c r="I197"/>
  <c r="I198" s="1"/>
  <c r="D199"/>
  <c r="C199"/>
  <c r="F245"/>
  <c r="E245"/>
  <c r="H245"/>
  <c r="G236"/>
  <c r="I236"/>
  <c r="D214"/>
  <c r="F198"/>
  <c r="F236"/>
  <c r="E236"/>
  <c r="G6" l="1"/>
  <c r="D264"/>
  <c r="G89"/>
  <c r="G11"/>
  <c r="G198"/>
  <c r="I11"/>
  <c r="H246"/>
  <c r="G246"/>
  <c r="I89"/>
  <c r="E89"/>
  <c r="E11"/>
  <c r="E6"/>
  <c r="F6"/>
  <c r="H89"/>
  <c r="H11"/>
  <c r="H6"/>
  <c r="D89"/>
  <c r="D6"/>
  <c r="I6"/>
  <c r="F246"/>
  <c r="I246"/>
  <c r="D197"/>
  <c r="D245"/>
  <c r="D198" l="1"/>
  <c r="E198"/>
  <c r="D246"/>
  <c r="E246"/>
</calcChain>
</file>

<file path=xl/sharedStrings.xml><?xml version="1.0" encoding="utf-8"?>
<sst xmlns="http://schemas.openxmlformats.org/spreadsheetml/2006/main" count="700" uniqueCount="272">
  <si>
    <t>Показатели</t>
  </si>
  <si>
    <t>Единица измерения</t>
  </si>
  <si>
    <t>- в действующих ценах</t>
  </si>
  <si>
    <t xml:space="preserve">млн. рублей </t>
  </si>
  <si>
    <t>- индекс промышленного производства</t>
  </si>
  <si>
    <t>в % к пред. году</t>
  </si>
  <si>
    <t>%</t>
  </si>
  <si>
    <t>млн. рублей</t>
  </si>
  <si>
    <t>тыс. тонн</t>
  </si>
  <si>
    <t>тыс.тонн</t>
  </si>
  <si>
    <t>тыс. куб. м.</t>
  </si>
  <si>
    <t>млн. условных кирпичей</t>
  </si>
  <si>
    <t>тыс. шт.</t>
  </si>
  <si>
    <t>В том числе:</t>
  </si>
  <si>
    <t>- в сопоставимых ценах</t>
  </si>
  <si>
    <t>в том числе:</t>
  </si>
  <si>
    <t>Из общего объема продукции сельского хозяйства:</t>
  </si>
  <si>
    <t>Зерно (в весе после доработки) - всего</t>
  </si>
  <si>
    <t>- сельскохозяйственные организации</t>
  </si>
  <si>
    <t>- крестьянские (фермерские) хозяйства</t>
  </si>
  <si>
    <t>Картофель - всего</t>
  </si>
  <si>
    <t>- хозяйства населения</t>
  </si>
  <si>
    <t>Овощи - всего</t>
  </si>
  <si>
    <t>Молоко - всего</t>
  </si>
  <si>
    <t>Яйцо - всего</t>
  </si>
  <si>
    <t>Площади сельскохозяйственных угодий (во всех категориях хозяйств), занятые под посевами:</t>
  </si>
  <si>
    <t>- зерновых</t>
  </si>
  <si>
    <t>- картофеля</t>
  </si>
  <si>
    <t>- овощей</t>
  </si>
  <si>
    <t>- крупный рогатый скот</t>
  </si>
  <si>
    <t>в том числе  коровы</t>
  </si>
  <si>
    <t xml:space="preserve">- свиньи </t>
  </si>
  <si>
    <t>- птица</t>
  </si>
  <si>
    <t>тыс. рублей</t>
  </si>
  <si>
    <t>млн. шт.</t>
  </si>
  <si>
    <t>тыс. га</t>
  </si>
  <si>
    <t>тыс. голов</t>
  </si>
  <si>
    <t>км</t>
  </si>
  <si>
    <t>единиц</t>
  </si>
  <si>
    <t>Объем инвестиций в основной капитал за счет всех источников финансирования:</t>
  </si>
  <si>
    <t>в том числе</t>
  </si>
  <si>
    <t>прибыль</t>
  </si>
  <si>
    <t>амортизация</t>
  </si>
  <si>
    <t>Финансы</t>
  </si>
  <si>
    <t>Сальдированный финансовый результат (прибыль минус убыток)</t>
  </si>
  <si>
    <t>тыс. чел.</t>
  </si>
  <si>
    <t>человек</t>
  </si>
  <si>
    <t>рублей</t>
  </si>
  <si>
    <t>Ввод в эксплуатацию жилых домов за счет всех источников финансирования</t>
  </si>
  <si>
    <t>Средняя обеспеченность населения общей площадью жилых домов (на конец года)</t>
  </si>
  <si>
    <t>кв. м  на человека</t>
  </si>
  <si>
    <t>Полная стоимость предоставляемых жилищно-коммунальных услуг</t>
  </si>
  <si>
    <t>коек на 10 тыс. жителей</t>
  </si>
  <si>
    <t>посещений в смену на 10 тыс. жителей</t>
  </si>
  <si>
    <t>чел. на 10 тыс. жителей</t>
  </si>
  <si>
    <t>мест на 10 тыс. жителей</t>
  </si>
  <si>
    <t>Удельный вес учащихся занимающихся в первую смену в дневных учреждениях общего образования (в % к общему числу обучающихся в этих учреждениях) (на начало года)</t>
  </si>
  <si>
    <t>Обеспеченность:</t>
  </si>
  <si>
    <t>Сельское хозяйство</t>
  </si>
  <si>
    <t>Cобственные средства предприятий</t>
  </si>
  <si>
    <t xml:space="preserve">Привлеченные средства </t>
  </si>
  <si>
    <t>Потребительский рынок</t>
  </si>
  <si>
    <t>Оборот розничной торговли</t>
  </si>
  <si>
    <t>Удельный вес продовольственных товаров</t>
  </si>
  <si>
    <t>Объем платных услуг населению</t>
  </si>
  <si>
    <t>Бытовые услуги</t>
  </si>
  <si>
    <t xml:space="preserve">Транспортные услуги </t>
  </si>
  <si>
    <t>Услуги связи</t>
  </si>
  <si>
    <t>Жилищные услуги</t>
  </si>
  <si>
    <t>Коммунальные услуги</t>
  </si>
  <si>
    <t>Услуги учреждений культуры</t>
  </si>
  <si>
    <t>Туристские услуги</t>
  </si>
  <si>
    <t>Услуги физической культуры и спорта</t>
  </si>
  <si>
    <t>Медицинские услуги</t>
  </si>
  <si>
    <t>Санаторно-оздоровительные услуги</t>
  </si>
  <si>
    <t>Ветеринарные услуги</t>
  </si>
  <si>
    <t>Услуги правого характера</t>
  </si>
  <si>
    <t>Услуги в системе образования</t>
  </si>
  <si>
    <t xml:space="preserve">Прочие виды услуг </t>
  </si>
  <si>
    <t>Оборот общественного питания</t>
  </si>
  <si>
    <t xml:space="preserve">   - в действующих ценах</t>
  </si>
  <si>
    <t xml:space="preserve">   - в сопоставимых ценах</t>
  </si>
  <si>
    <t>Удельный вес непродовольственных товаров</t>
  </si>
  <si>
    <t xml:space="preserve">Строительство и реконструкция автомобильных дорог общего пользования </t>
  </si>
  <si>
    <t>Из раздела С:</t>
  </si>
  <si>
    <t>Из раздела D:</t>
  </si>
  <si>
    <t>Прочие производства</t>
  </si>
  <si>
    <t>Производство прочих материалов и веществ</t>
  </si>
  <si>
    <t>Из раздела Е:</t>
  </si>
  <si>
    <t>млн. долл. США</t>
  </si>
  <si>
    <t>Иностранные инвестици</t>
  </si>
  <si>
    <t>Из раздела А:</t>
  </si>
  <si>
    <t>Продукция сельскохозяйственных организаций:</t>
  </si>
  <si>
    <t>Продукция крестьянских (фермерских) хозяйств:</t>
  </si>
  <si>
    <t xml:space="preserve">Продукция в хозяйствах населения: </t>
  </si>
  <si>
    <t>Производство основных видов сельскохозяйственной продукции:</t>
  </si>
  <si>
    <t xml:space="preserve">Поголовье скота и птицы на конец года (во всех категориях хозяйств): </t>
  </si>
  <si>
    <t>тыс.кв.м на 10 тыс.чел.</t>
  </si>
  <si>
    <t>кв.м на 10 тыс.чел.</t>
  </si>
  <si>
    <t>кв.м зеркала воды на 10 тыс.чел.</t>
  </si>
  <si>
    <t>Среднемесячная заработная плата одного работника в целом по муниципальному району (городскому округу)</t>
  </si>
  <si>
    <t>Производство промышленной продукции</t>
  </si>
  <si>
    <t>Инвестиционная и строительная деятельность</t>
  </si>
  <si>
    <t>Рынок труда и заработной платы</t>
  </si>
  <si>
    <t>Развитие малого предпринимательства</t>
  </si>
  <si>
    <t>Социальная сфера</t>
  </si>
  <si>
    <t>Муниципальное имущество</t>
  </si>
  <si>
    <t>Территория</t>
  </si>
  <si>
    <t>Демография</t>
  </si>
  <si>
    <t>Окружающая среда</t>
  </si>
  <si>
    <t>Территория, всего</t>
  </si>
  <si>
    <t>предоставленная  физическим лицам:</t>
  </si>
  <si>
    <t>во владение, пользование</t>
  </si>
  <si>
    <t>в аренду</t>
  </si>
  <si>
    <t>предоставленная юридическим лицам:</t>
  </si>
  <si>
    <t>в пользование</t>
  </si>
  <si>
    <t>жилых зданий</t>
  </si>
  <si>
    <t>объектов социально - культурного назначения</t>
  </si>
  <si>
    <t>Территориальные резервы для развития, всего</t>
  </si>
  <si>
    <t xml:space="preserve">в том числе: </t>
  </si>
  <si>
    <t>незастроенные сельскохозяйственные земли</t>
  </si>
  <si>
    <t>тыс. кв.м.</t>
  </si>
  <si>
    <t>Площадь, занимаемая объектами предназначенными для сноса, перепланировки и переноса на другую территорию</t>
  </si>
  <si>
    <t>Расходы бюджета на органы местного самоуправления</t>
  </si>
  <si>
    <t>Наличие основных фондов, находящихся в муниципальной собственности (по остаточной балансовой стоимости)</t>
  </si>
  <si>
    <t xml:space="preserve">территория, находящаяся в ведении </t>
  </si>
  <si>
    <t>территория, находящаяся в собственности:</t>
  </si>
  <si>
    <t>Площадь, предназначенная для строительства, всего</t>
  </si>
  <si>
    <t>Прибыль прибыльных организаций</t>
  </si>
  <si>
    <t xml:space="preserve"> Сельское хозяйство, охота и предоставление услуг в этих областях</t>
  </si>
  <si>
    <t xml:space="preserve"> Растениеводство</t>
  </si>
  <si>
    <t xml:space="preserve"> Животноводство</t>
  </si>
  <si>
    <t>Выбросы загрязняющих веществ в атмосферный воздух</t>
  </si>
  <si>
    <t>твердые вещества</t>
  </si>
  <si>
    <t xml:space="preserve">газообразные и жидкие </t>
  </si>
  <si>
    <t>В расчете на одного жителя</t>
  </si>
  <si>
    <t>Текущие затраты на охрану окружающей среды</t>
  </si>
  <si>
    <t>ед.</t>
  </si>
  <si>
    <t>тонн</t>
  </si>
  <si>
    <t>Производство, передача и распределение электроэнергии, газа и пара</t>
  </si>
  <si>
    <t>Сбор, очистка и распределение  воды</t>
  </si>
  <si>
    <t>Производство нефтепродуктов</t>
  </si>
  <si>
    <t xml:space="preserve"> А   Сельское хозяйство, охота и лесное хозяйство</t>
  </si>
  <si>
    <t>В Рыболовство, рыбоводство</t>
  </si>
  <si>
    <t>С   Добыча полезных ископаемых</t>
  </si>
  <si>
    <t xml:space="preserve"> Д   Обрабатывающие  производства</t>
  </si>
  <si>
    <t>Е   Производство и распределение электроэнергии, газа и воды</t>
  </si>
  <si>
    <t xml:space="preserve"> F   Строительство</t>
  </si>
  <si>
    <t xml:space="preserve"> G   Оптовая и розничная торговля</t>
  </si>
  <si>
    <t xml:space="preserve"> I   Транспорт и связь</t>
  </si>
  <si>
    <t xml:space="preserve"> К  Операции с недвижимым имуществом, аренда и предоставление услуг</t>
  </si>
  <si>
    <t xml:space="preserve"> М  Образование</t>
  </si>
  <si>
    <t xml:space="preserve"> N Здравоохранение и предоставление социальных услуг</t>
  </si>
  <si>
    <t xml:space="preserve">Численность занятых в экономике (среднегодовая) - всего (по данным баланса трудовых ресурсов) </t>
  </si>
  <si>
    <t>Распределение среднегодовой численности занятых в экономике по формам собственности:</t>
  </si>
  <si>
    <t>государственная  форма собственности</t>
  </si>
  <si>
    <t>муниципальная форма собственности</t>
  </si>
  <si>
    <t>собственность общественных и религиозных организаций (объединений)</t>
  </si>
  <si>
    <t>смешанная российская форма собственности</t>
  </si>
  <si>
    <t>иностранная, совместная российская и иностранная формы собственности</t>
  </si>
  <si>
    <t>частная форма собственности</t>
  </si>
  <si>
    <t>в том числе занятые:</t>
  </si>
  <si>
    <t>в крестьянских (фермерских) хозяйствах (включая наемных работников)</t>
  </si>
  <si>
    <t>на частных предприятиях</t>
  </si>
  <si>
    <t>индивидуальным трудом и по найму у отдельных граждан,включая занятых в домашнем хозяйстве производством товаров и услуг для реализации (включая личное подсобное хозяйство)</t>
  </si>
  <si>
    <t>Среднесписочная численность работников предприятий/организаций - всего</t>
  </si>
  <si>
    <t>тыс.кв.м общей площади</t>
  </si>
  <si>
    <t xml:space="preserve">   за счет средств местных бюджетов</t>
  </si>
  <si>
    <t xml:space="preserve">   индивидуальные жилые дома, построенные населением за свой счет и (или) с помощью кредитов</t>
  </si>
  <si>
    <t>тыс.кв. м</t>
  </si>
  <si>
    <t xml:space="preserve">   общая площадь ветхого аварийного жилищного фонда</t>
  </si>
  <si>
    <t>Численность официально зарегистрированных безработных (по результатам выборочного обследования)</t>
  </si>
  <si>
    <t>Уровень регистрируемой безработицы (удельный вес безработных в численности экономически активного населения)</t>
  </si>
  <si>
    <t>Фонд оплаты труда, всего</t>
  </si>
  <si>
    <t>Общая площадь муниципального жилищного фонда</t>
  </si>
  <si>
    <t>больничными койками (круглосуточный стационар)</t>
  </si>
  <si>
    <t>койками дневного пребывания (при круглосуточном стационаре)</t>
  </si>
  <si>
    <t>койками сестринского ухода</t>
  </si>
  <si>
    <t>амбулаторно-поликлиническими учреждениями</t>
  </si>
  <si>
    <t xml:space="preserve">врачами            </t>
  </si>
  <si>
    <t>средним медицинским персоналом</t>
  </si>
  <si>
    <t>домами-интернатами для престарелых и инвалидов и детей-инвалидов</t>
  </si>
  <si>
    <t>общедоступными  библиотеками</t>
  </si>
  <si>
    <t>учреждениями культурно-досугового типа</t>
  </si>
  <si>
    <t>спортивными залами</t>
  </si>
  <si>
    <t>плавательными бассейнами</t>
  </si>
  <si>
    <t>город</t>
  </si>
  <si>
    <t>село</t>
  </si>
  <si>
    <t>Численность постоянного населения (среднегодовая)</t>
  </si>
  <si>
    <t>городского</t>
  </si>
  <si>
    <t>сельского</t>
  </si>
  <si>
    <t>детей в возрасте 1-6 лет местами в дошкольных образовательных учреждениях</t>
  </si>
  <si>
    <t>Площадь капитально отремонтированных жилых домов за год</t>
  </si>
  <si>
    <t>Количество малых предприятии - всего (на конец года)</t>
  </si>
  <si>
    <t>Среднесписочная численность работников малых предприятий (без внешних совместителей)</t>
  </si>
  <si>
    <t>тыс.кв. м на человека</t>
  </si>
  <si>
    <t>Количество предприятий, имеющих выбросы загрязняющих веществ в атмосферу</t>
  </si>
  <si>
    <t>Скот и птица (в живом весе) - всего</t>
  </si>
  <si>
    <t>Объем выполненных работ и услуг собственными силами крупных и средних предприятий и организаций по виду деятельности "строительство"</t>
  </si>
  <si>
    <t>Объем отгруженных товаров собственного производства, выполненных работ и услуг собственными силами (итого по разделам C,D,E)</t>
  </si>
  <si>
    <t>индекс промышленного производства</t>
  </si>
  <si>
    <t>в том числе по видам экономической деятельности</t>
  </si>
  <si>
    <t xml:space="preserve">С "Добыча полезных ископаемых" </t>
  </si>
  <si>
    <t>- индекс  производства</t>
  </si>
  <si>
    <t>- удельный вес в  объеме отгруженных товаров (C,D,E)</t>
  </si>
  <si>
    <t>- удельный вес в объеме отгруженных товаров раздела С</t>
  </si>
  <si>
    <t>- удельный вес в объеме отгруженных товаров раздела D</t>
  </si>
  <si>
    <t>- удельный вес в объеме отгруженных товаров раздела E</t>
  </si>
  <si>
    <t xml:space="preserve">Транспорт </t>
  </si>
  <si>
    <t>Численность работников органов местного самоуправления</t>
  </si>
  <si>
    <t>в том числе: муниципальных служащих</t>
  </si>
  <si>
    <t>D "Обрабатывающие производства"</t>
  </si>
  <si>
    <t>Е "Производство и распределение электроэнергии, газа и воды"</t>
  </si>
  <si>
    <t>Протяженность автомобильных дорог всего</t>
  </si>
  <si>
    <t xml:space="preserve">    в том числе:</t>
  </si>
  <si>
    <t xml:space="preserve">    общего пользования</t>
  </si>
  <si>
    <t xml:space="preserve">    ведомственные</t>
  </si>
  <si>
    <t>Из общей протяженности автомобильных дорог - дороги с твердым покрытием -всего</t>
  </si>
  <si>
    <t>Производство важнейших видов продукции в натуральном выражении</t>
  </si>
  <si>
    <t>Добыча нефти (включая газовый конденсат)</t>
  </si>
  <si>
    <t>Добыча газа горючего природного (естественного)</t>
  </si>
  <si>
    <t>млн.куб.м</t>
  </si>
  <si>
    <t xml:space="preserve">Производство бензина автомобильного </t>
  </si>
  <si>
    <t>Производство топлива дизельного</t>
  </si>
  <si>
    <t>Производство полиэтилена</t>
  </si>
  <si>
    <t xml:space="preserve">Производство древесины деловой </t>
  </si>
  <si>
    <t>Производство пиломатериала</t>
  </si>
  <si>
    <t>Производство строительного кирпича</t>
  </si>
  <si>
    <t>Производство трикотажных изделий</t>
  </si>
  <si>
    <t>Производство обуви</t>
  </si>
  <si>
    <t>тыс.пар</t>
  </si>
  <si>
    <t>Производство водки и ликеро-водочных изделий</t>
  </si>
  <si>
    <t>тыс.дкл</t>
  </si>
  <si>
    <t>Производство пива</t>
  </si>
  <si>
    <t>Оборот малых предприятий</t>
  </si>
  <si>
    <t>Органы местного самоуправления</t>
  </si>
  <si>
    <t>чел. на 100 жителей</t>
  </si>
  <si>
    <t>Естественный прирост (убыль) на 1000 человек</t>
  </si>
  <si>
    <t>чел.</t>
  </si>
  <si>
    <t>2011-факт</t>
  </si>
  <si>
    <t>Количество квадратных метров площади, полученной семьями, улучшившими жилищные условия</t>
  </si>
  <si>
    <t>Жилищно - коммунальное хозяйство</t>
  </si>
  <si>
    <t>Число семей, получивших жилые помещения и улучшивших жилищные условия в течение года</t>
  </si>
  <si>
    <t>2012- факт</t>
  </si>
  <si>
    <t>Выпуск учащихся из государственных дневных полных средних общеобразовательных учреждений</t>
  </si>
  <si>
    <t xml:space="preserve"> Доля стоимости жилищно-коммунальных услуг, оплачиваемая населением</t>
  </si>
  <si>
    <t>2013- факт</t>
  </si>
  <si>
    <t>2014-оценка</t>
  </si>
  <si>
    <t>Показатели прогноза социально-экономического развития Колпашевского района                                                            Томской области на 2015-2017 гг.</t>
  </si>
  <si>
    <t>число мест на 100 детей</t>
  </si>
  <si>
    <t>Плановый период</t>
  </si>
  <si>
    <t>2015 год</t>
  </si>
  <si>
    <t>2016 год</t>
  </si>
  <si>
    <t>2017 год</t>
  </si>
  <si>
    <t>- удельный вес в объеме отгруженных товаров (C,D,E)</t>
  </si>
  <si>
    <r>
      <t>СА</t>
    </r>
    <r>
      <rPr>
        <b/>
        <i/>
        <sz val="11"/>
        <rFont val="Times New Roman Cyr"/>
        <family val="1"/>
        <charset val="204"/>
      </rPr>
      <t xml:space="preserve">     Добыча топливно-энергетических полезных ископаемых </t>
    </r>
  </si>
  <si>
    <r>
      <t>СВ</t>
    </r>
    <r>
      <rPr>
        <b/>
        <i/>
        <sz val="11"/>
        <rFont val="Times New Roman Cyr"/>
        <family val="1"/>
        <charset val="204"/>
      </rPr>
      <t xml:space="preserve">   Добыча прочих полезных ископаемых</t>
    </r>
  </si>
  <si>
    <r>
      <t xml:space="preserve">DA </t>
    </r>
    <r>
      <rPr>
        <b/>
        <i/>
        <sz val="11"/>
        <rFont val="Times New Roman Cyr"/>
        <family val="1"/>
        <charset val="204"/>
      </rPr>
      <t xml:space="preserve">  Производство пищевых продуктов</t>
    </r>
  </si>
  <si>
    <r>
      <t xml:space="preserve">DB  </t>
    </r>
    <r>
      <rPr>
        <b/>
        <i/>
        <sz val="11"/>
        <rFont val="Times New Roman Cyr"/>
        <family val="1"/>
        <charset val="204"/>
      </rPr>
      <t xml:space="preserve"> Текстильное и швейное производство</t>
    </r>
  </si>
  <si>
    <r>
      <t>DC</t>
    </r>
    <r>
      <rPr>
        <b/>
        <i/>
        <sz val="11"/>
        <rFont val="Times New Roman Cyr"/>
        <family val="1"/>
        <charset val="204"/>
      </rPr>
      <t xml:space="preserve">   Производство кожи, производство обуви</t>
    </r>
  </si>
  <si>
    <r>
      <t>DD</t>
    </r>
    <r>
      <rPr>
        <b/>
        <i/>
        <sz val="11"/>
        <rFont val="Times New Roman Cyr"/>
        <family val="1"/>
        <charset val="204"/>
      </rPr>
      <t xml:space="preserve">   Обработка древесины и производство изделий из дерева</t>
    </r>
  </si>
  <si>
    <r>
      <t xml:space="preserve">DE </t>
    </r>
    <r>
      <rPr>
        <b/>
        <i/>
        <sz val="11"/>
        <rFont val="Times New Roman Cyr"/>
        <family val="1"/>
        <charset val="204"/>
      </rPr>
      <t xml:space="preserve">  Целлюлозно-бумажное производство; полиграфическая деятельность</t>
    </r>
  </si>
  <si>
    <r>
      <t>DG</t>
    </r>
    <r>
      <rPr>
        <b/>
        <i/>
        <sz val="11"/>
        <rFont val="Times New Roman Cyr"/>
        <family val="1"/>
        <charset val="204"/>
      </rPr>
      <t xml:space="preserve">   Химическое производство</t>
    </r>
  </si>
  <si>
    <r>
      <t>DH</t>
    </r>
    <r>
      <rPr>
        <b/>
        <i/>
        <sz val="11"/>
        <rFont val="Times New Roman Cyr"/>
        <family val="1"/>
        <charset val="204"/>
      </rPr>
      <t xml:space="preserve">   Производство резиновых и пластмассовых изделий</t>
    </r>
  </si>
  <si>
    <r>
      <t>DI</t>
    </r>
    <r>
      <rPr>
        <b/>
        <i/>
        <sz val="11"/>
        <rFont val="Times New Roman Cyr"/>
        <family val="1"/>
        <charset val="204"/>
      </rPr>
      <t xml:space="preserve">   Производство прочих неметаллических минеральных продуктов</t>
    </r>
  </si>
  <si>
    <r>
      <t>DJ</t>
    </r>
    <r>
      <rPr>
        <b/>
        <i/>
        <sz val="11"/>
        <rFont val="Times New Roman Cyr"/>
        <family val="1"/>
        <charset val="204"/>
      </rPr>
      <t xml:space="preserve">   Производство готовых металлических изделий</t>
    </r>
  </si>
  <si>
    <r>
      <t>DK</t>
    </r>
    <r>
      <rPr>
        <b/>
        <vertAlign val="superscript"/>
        <sz val="11"/>
        <rFont val="Times New Roman Cyr"/>
        <family val="1"/>
        <charset val="204"/>
      </rPr>
      <t>1)</t>
    </r>
    <r>
      <rPr>
        <b/>
        <i/>
        <sz val="11"/>
        <rFont val="Times New Roman Cyr"/>
        <family val="1"/>
        <charset val="204"/>
      </rPr>
      <t xml:space="preserve"> Производство машин и оборудования (без производства оружия и боеприпасов)</t>
    </r>
  </si>
  <si>
    <r>
      <t>DL</t>
    </r>
    <r>
      <rPr>
        <b/>
        <i/>
        <sz val="11"/>
        <rFont val="Times New Roman Cyr"/>
        <family val="1"/>
        <charset val="204"/>
      </rPr>
      <t xml:space="preserve">   Производство электро-, электронного и оптического оборудования </t>
    </r>
  </si>
  <si>
    <r>
      <t>DM</t>
    </r>
    <r>
      <rPr>
        <b/>
        <i/>
        <sz val="11"/>
        <rFont val="Times New Roman Cyr"/>
        <family val="1"/>
        <charset val="204"/>
      </rPr>
      <t xml:space="preserve">   Производство транспортных средств  и оборудования </t>
    </r>
  </si>
  <si>
    <r>
      <t xml:space="preserve">Из общего объема инвестиций  </t>
    </r>
    <r>
      <rPr>
        <sz val="11"/>
        <rFont val="Times New Roman"/>
        <family val="1"/>
        <charset val="204"/>
      </rPr>
      <t>(по крупным и средним предприятиям)</t>
    </r>
    <r>
      <rPr>
        <b/>
        <sz val="11"/>
        <rFont val="Times New Roman"/>
        <family val="1"/>
        <charset val="204"/>
      </rPr>
      <t>:</t>
    </r>
  </si>
  <si>
    <r>
      <t xml:space="preserve">Инвестиции в основной капитал по источникам финансирования </t>
    </r>
    <r>
      <rPr>
        <sz val="11"/>
        <rFont val="Times New Roman CYR"/>
        <family val="1"/>
        <charset val="204"/>
      </rPr>
      <t>(по крупным и средним предприятиям)</t>
    </r>
    <r>
      <rPr>
        <b/>
        <sz val="11"/>
        <rFont val="Times New Roman Cyr"/>
        <family val="1"/>
        <charset val="204"/>
      </rPr>
      <t>:</t>
    </r>
  </si>
  <si>
    <t>плоскостными сооружениями</t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</si>
</sst>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#,##0.0"/>
    <numFmt numFmtId="165" formatCode="0.000"/>
    <numFmt numFmtId="166" formatCode="0.0"/>
    <numFmt numFmtId="167" formatCode="#,##0.000"/>
    <numFmt numFmtId="168" formatCode="0.0000"/>
    <numFmt numFmtId="169" formatCode="_-* #,##0.0_р_._-;\-* #,##0.0_р_._-;_-* &quot;-&quot;??_р_._-;_-@_-"/>
    <numFmt numFmtId="170" formatCode="_-* #,##0_р_._-;\-* #,##0_р_._-;_-* &quot;-&quot;??_р_._-;_-@_-"/>
    <numFmt numFmtId="171" formatCode="0.00000"/>
    <numFmt numFmtId="172" formatCode="#,##0.0_ ;\-#,##0.0\ "/>
  </numFmts>
  <fonts count="24"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1"/>
      <name val="Times New Roman Cyr"/>
      <family val="1"/>
      <charset val="204"/>
    </font>
    <font>
      <sz val="10"/>
      <name val="Arial Cyr"/>
      <charset val="204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Arial Cyr"/>
      <charset val="204"/>
    </font>
    <font>
      <i/>
      <sz val="11"/>
      <name val="Times New Roman Cyr"/>
      <family val="1"/>
      <charset val="204"/>
    </font>
    <font>
      <b/>
      <sz val="11"/>
      <color indexed="16"/>
      <name val="Arial Cyr"/>
      <family val="2"/>
      <charset val="204"/>
    </font>
    <font>
      <sz val="11"/>
      <name val="Times New Roman Cyr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 Cyr"/>
      <family val="1"/>
      <charset val="204"/>
    </font>
    <font>
      <b/>
      <vertAlign val="superscript"/>
      <sz val="11"/>
      <name val="Times New Roman Cyr"/>
      <family val="1"/>
      <charset val="204"/>
    </font>
    <font>
      <b/>
      <i/>
      <sz val="11"/>
      <color indexed="8"/>
      <name val="Times New Roman Cyr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Arial Cyr"/>
      <charset val="204"/>
    </font>
    <font>
      <b/>
      <i/>
      <sz val="10"/>
      <name val="Times New Roman Cyr"/>
      <family val="1"/>
      <charset val="204"/>
    </font>
    <font>
      <b/>
      <sz val="7.5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131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9" fontId="7" fillId="0" borderId="1" xfId="2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167" fontId="7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>
      <alignment horizontal="center" wrapText="1"/>
    </xf>
    <xf numFmtId="0" fontId="1" fillId="5" borderId="1" xfId="0" applyNumberFormat="1" applyFont="1" applyFill="1" applyBorder="1" applyAlignment="1" applyProtection="1">
      <alignment horizontal="center" vertical="center"/>
    </xf>
    <xf numFmtId="169" fontId="1" fillId="0" borderId="1" xfId="2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0" fillId="5" borderId="0" xfId="0" applyFont="1" applyFill="1"/>
    <xf numFmtId="49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5" borderId="0" xfId="0" applyNumberFormat="1" applyFont="1" applyFill="1" applyBorder="1" applyAlignment="1" applyProtection="1">
      <alignment vertical="top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4" fontId="7" fillId="5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/>
    <xf numFmtId="164" fontId="14" fillId="5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6" fillId="5" borderId="1" xfId="0" applyFont="1" applyFill="1" applyBorder="1" applyAlignment="1">
      <alignment horizontal="left" vertical="center" wrapText="1"/>
    </xf>
    <xf numFmtId="166" fontId="7" fillId="5" borderId="1" xfId="0" applyNumberFormat="1" applyFont="1" applyFill="1" applyBorder="1" applyAlignment="1" applyProtection="1">
      <alignment horizontal="center" vertical="center"/>
    </xf>
    <xf numFmtId="166" fontId="8" fillId="5" borderId="1" xfId="0" applyNumberFormat="1" applyFont="1" applyFill="1" applyBorder="1" applyAlignment="1" applyProtection="1">
      <alignment horizontal="center" vertical="center"/>
    </xf>
    <xf numFmtId="164" fontId="8" fillId="5" borderId="1" xfId="1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8" fillId="5" borderId="1" xfId="0" applyNumberFormat="1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center" wrapText="1"/>
    </xf>
    <xf numFmtId="164" fontId="3" fillId="5" borderId="1" xfId="0" applyNumberFormat="1" applyFont="1" applyFill="1" applyBorder="1" applyAlignment="1" applyProtection="1">
      <alignment horizontal="center" vertical="center"/>
    </xf>
    <xf numFmtId="167" fontId="7" fillId="5" borderId="1" xfId="0" applyNumberFormat="1" applyFont="1" applyFill="1" applyBorder="1" applyAlignment="1" applyProtection="1">
      <alignment horizontal="center" vertical="center"/>
    </xf>
    <xf numFmtId="0" fontId="7" fillId="5" borderId="1" xfId="0" applyNumberFormat="1" applyFont="1" applyFill="1" applyBorder="1" applyAlignment="1" applyProtection="1">
      <alignment horizontal="center" vertical="center"/>
    </xf>
    <xf numFmtId="165" fontId="7" fillId="5" borderId="1" xfId="0" applyNumberFormat="1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right"/>
    </xf>
    <xf numFmtId="0" fontId="10" fillId="2" borderId="0" xfId="0" applyFont="1" applyFill="1" applyAlignment="1">
      <alignment horizontal="center" vertical="center"/>
    </xf>
    <xf numFmtId="165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168" fontId="10" fillId="0" borderId="0" xfId="0" applyNumberFormat="1" applyFont="1"/>
    <xf numFmtId="0" fontId="7" fillId="0" borderId="1" xfId="0" applyNumberFormat="1" applyFont="1" applyFill="1" applyBorder="1" applyAlignment="1" applyProtection="1">
      <alignment horizontal="center" vertical="center"/>
    </xf>
    <xf numFmtId="166" fontId="7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6" fontId="7" fillId="0" borderId="1" xfId="0" applyNumberFormat="1" applyFont="1" applyFill="1" applyBorder="1" applyAlignment="1" applyProtection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/>
    <xf numFmtId="166" fontId="8" fillId="0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/>
    <xf numFmtId="0" fontId="10" fillId="3" borderId="0" xfId="0" applyFont="1" applyFill="1" applyAlignment="1">
      <alignment horizontal="center" vertical="center"/>
    </xf>
    <xf numFmtId="166" fontId="19" fillId="5" borderId="1" xfId="0" applyNumberFormat="1" applyFont="1" applyFill="1" applyBorder="1" applyAlignment="1" applyProtection="1">
      <alignment horizontal="center" vertical="center"/>
    </xf>
    <xf numFmtId="166" fontId="20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Fill="1"/>
    <xf numFmtId="0" fontId="8" fillId="5" borderId="1" xfId="0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2" fontId="7" fillId="0" borderId="1" xfId="0" applyNumberFormat="1" applyFont="1" applyFill="1" applyBorder="1" applyAlignment="1" applyProtection="1">
      <alignment horizontal="center" vertical="center"/>
    </xf>
    <xf numFmtId="0" fontId="10" fillId="3" borderId="0" xfId="0" applyFont="1" applyFill="1"/>
    <xf numFmtId="0" fontId="7" fillId="0" borderId="0" xfId="0" applyNumberFormat="1" applyFont="1" applyFill="1" applyBorder="1" applyAlignment="1" applyProtection="1">
      <alignment vertical="center"/>
    </xf>
    <xf numFmtId="167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71" fontId="8" fillId="0" borderId="1" xfId="0" applyNumberFormat="1" applyFont="1" applyFill="1" applyBorder="1" applyAlignment="1" applyProtection="1">
      <alignment horizontal="center" vertical="center"/>
    </xf>
    <xf numFmtId="171" fontId="8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Alignment="1"/>
    <xf numFmtId="0" fontId="10" fillId="0" borderId="0" xfId="0" applyFont="1" applyFill="1" applyAlignment="1">
      <alignment horizontal="left" vertical="center" indent="6"/>
    </xf>
    <xf numFmtId="0" fontId="10" fillId="5" borderId="0" xfId="0" applyFont="1" applyFill="1" applyBorder="1"/>
    <xf numFmtId="0" fontId="10" fillId="0" borderId="0" xfId="0" applyFont="1" applyBorder="1"/>
    <xf numFmtId="0" fontId="2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center" vertical="center"/>
    </xf>
    <xf numFmtId="165" fontId="16" fillId="0" borderId="1" xfId="0" applyNumberFormat="1" applyFont="1" applyFill="1" applyBorder="1" applyAlignment="1" applyProtection="1">
      <alignment horizontal="left" vertical="center" wrapText="1"/>
    </xf>
    <xf numFmtId="165" fontId="7" fillId="0" borderId="1" xfId="0" applyNumberFormat="1" applyFont="1" applyFill="1" applyBorder="1" applyAlignment="1" applyProtection="1">
      <alignment horizontal="left" vertical="center" wrapText="1" indent="2"/>
    </xf>
    <xf numFmtId="165" fontId="7" fillId="0" borderId="1" xfId="0" applyNumberFormat="1" applyFont="1" applyFill="1" applyBorder="1" applyAlignment="1" applyProtection="1">
      <alignment horizontal="left" vertical="center" wrapText="1" indent="4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vertical="center"/>
    </xf>
    <xf numFmtId="49" fontId="3" fillId="5" borderId="1" xfId="0" applyNumberFormat="1" applyFont="1" applyFill="1" applyBorder="1" applyAlignment="1" applyProtection="1">
      <alignment horizontal="left" vertical="center" wrapText="1"/>
    </xf>
    <xf numFmtId="49" fontId="11" fillId="5" borderId="1" xfId="0" applyNumberFormat="1" applyFont="1" applyFill="1" applyBorder="1" applyAlignment="1" applyProtection="1">
      <alignment horizontal="left" vertical="center" wrapText="1"/>
    </xf>
    <xf numFmtId="49" fontId="8" fillId="5" borderId="1" xfId="0" applyNumberFormat="1" applyFont="1" applyFill="1" applyBorder="1" applyAlignment="1" applyProtection="1">
      <alignment horizontal="left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72" fontId="1" fillId="0" borderId="1" xfId="2" applyNumberFormat="1" applyFont="1" applyFill="1" applyBorder="1" applyAlignment="1" applyProtection="1">
      <alignment horizontal="center" vertical="center"/>
    </xf>
    <xf numFmtId="170" fontId="1" fillId="0" borderId="1" xfId="2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 applyProtection="1">
      <alignment horizontal="left" vertical="center" wrapText="1"/>
    </xf>
    <xf numFmtId="165" fontId="18" fillId="0" borderId="1" xfId="0" applyNumberFormat="1" applyFont="1" applyBorder="1" applyAlignment="1">
      <alignment horizontal="left" vertical="center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 applyProtection="1">
      <alignment horizontal="left" vertical="center" wrapText="1"/>
    </xf>
    <xf numFmtId="164" fontId="2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9" fontId="3" fillId="6" borderId="1" xfId="0" applyNumberFormat="1" applyFont="1" applyFill="1" applyBorder="1" applyAlignment="1" applyProtection="1">
      <alignment horizontal="center" vertical="center"/>
    </xf>
    <xf numFmtId="49" fontId="3" fillId="6" borderId="1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8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4"/>
  <sheetViews>
    <sheetView tabSelected="1" view="pageBreakPreview" topLeftCell="A179" zoomScaleNormal="100" zoomScaleSheetLayoutView="100" workbookViewId="0">
      <selection activeCell="A406" sqref="A406:I406"/>
    </sheetView>
  </sheetViews>
  <sheetFormatPr defaultRowHeight="15"/>
  <cols>
    <col min="1" max="1" width="39" style="20" customWidth="1"/>
    <col min="2" max="2" width="9.7109375" style="21" customWidth="1"/>
    <col min="3" max="6" width="8.42578125" style="22" customWidth="1"/>
    <col min="7" max="7" width="8.7109375" style="19" customWidth="1"/>
    <col min="8" max="8" width="9" style="19" customWidth="1"/>
    <col min="9" max="9" width="8.85546875" style="19" customWidth="1"/>
    <col min="10" max="16384" width="9.140625" style="18"/>
  </cols>
  <sheetData>
    <row r="1" spans="1:9" ht="45" customHeight="1">
      <c r="A1" s="127" t="s">
        <v>248</v>
      </c>
      <c r="B1" s="127"/>
      <c r="C1" s="127"/>
      <c r="D1" s="127"/>
      <c r="E1" s="127"/>
      <c r="F1" s="127"/>
      <c r="G1" s="127"/>
      <c r="H1" s="127"/>
      <c r="I1" s="127"/>
    </row>
    <row r="2" spans="1:9" s="23" customFormat="1" ht="24" customHeight="1">
      <c r="A2" s="125" t="s">
        <v>0</v>
      </c>
      <c r="B2" s="126" t="s">
        <v>1</v>
      </c>
      <c r="C2" s="123" t="s">
        <v>239</v>
      </c>
      <c r="D2" s="123" t="s">
        <v>243</v>
      </c>
      <c r="E2" s="123" t="s">
        <v>246</v>
      </c>
      <c r="F2" s="123" t="s">
        <v>247</v>
      </c>
      <c r="G2" s="124" t="s">
        <v>250</v>
      </c>
      <c r="H2" s="124"/>
      <c r="I2" s="124"/>
    </row>
    <row r="3" spans="1:9" s="23" customFormat="1" ht="21" customHeight="1">
      <c r="A3" s="125"/>
      <c r="B3" s="126"/>
      <c r="C3" s="123"/>
      <c r="D3" s="123"/>
      <c r="E3" s="123"/>
      <c r="F3" s="123"/>
      <c r="G3" s="64" t="s">
        <v>251</v>
      </c>
      <c r="H3" s="64" t="s">
        <v>252</v>
      </c>
      <c r="I3" s="64" t="s">
        <v>253</v>
      </c>
    </row>
    <row r="4" spans="1:9" s="24" customFormat="1" ht="21" customHeight="1">
      <c r="A4" s="129" t="s">
        <v>101</v>
      </c>
      <c r="B4" s="129"/>
      <c r="C4" s="129"/>
      <c r="D4" s="129"/>
      <c r="E4" s="129"/>
      <c r="F4" s="129"/>
      <c r="G4" s="129"/>
      <c r="H4" s="129"/>
      <c r="I4" s="129"/>
    </row>
    <row r="5" spans="1:9" s="26" customFormat="1" ht="71.25">
      <c r="A5" s="34" t="s">
        <v>199</v>
      </c>
      <c r="B5" s="14" t="s">
        <v>3</v>
      </c>
      <c r="C5" s="25">
        <v>897</v>
      </c>
      <c r="D5" s="25">
        <f>D22+D87</f>
        <v>1075.5</v>
      </c>
      <c r="E5" s="25">
        <f>E22+E87+E9</f>
        <v>1274.3</v>
      </c>
      <c r="F5" s="25">
        <f t="shared" ref="F5:I5" si="0">F22+F87</f>
        <v>1240</v>
      </c>
      <c r="G5" s="25">
        <f t="shared" si="0"/>
        <v>1326.4</v>
      </c>
      <c r="H5" s="25">
        <f t="shared" si="0"/>
        <v>1420.4</v>
      </c>
      <c r="I5" s="25">
        <f t="shared" si="0"/>
        <v>1500.6</v>
      </c>
    </row>
    <row r="6" spans="1:9" s="26" customFormat="1" ht="26.25" customHeight="1">
      <c r="A6" s="111" t="s">
        <v>200</v>
      </c>
      <c r="B6" s="14" t="s">
        <v>5</v>
      </c>
      <c r="C6" s="25">
        <v>98.9</v>
      </c>
      <c r="D6" s="25">
        <f>D5/1.054*100/C5</f>
        <v>113.75679843628033</v>
      </c>
      <c r="E6" s="25">
        <f>E5/1.064/D5*100</f>
        <v>111.35754309064151</v>
      </c>
      <c r="F6" s="25">
        <f>F5/1.084*100/E5</f>
        <v>89.76782854228918</v>
      </c>
      <c r="G6" s="25">
        <f>G5/1.053/F5*100</f>
        <v>101.58380050853171</v>
      </c>
      <c r="H6" s="25">
        <f>H5/1.044/G5*100</f>
        <v>102.57361267094637</v>
      </c>
      <c r="I6" s="25">
        <f>I5/1.035/H5*100</f>
        <v>102.07371673217179</v>
      </c>
    </row>
    <row r="7" spans="1:9" s="26" customFormat="1" ht="30">
      <c r="A7" s="103" t="s">
        <v>201</v>
      </c>
      <c r="B7" s="14"/>
      <c r="C7" s="27"/>
      <c r="D7" s="27"/>
      <c r="E7" s="27"/>
      <c r="F7" s="27"/>
      <c r="G7" s="27"/>
      <c r="H7" s="27"/>
      <c r="I7" s="27"/>
    </row>
    <row r="8" spans="1:9" ht="19.5" customHeight="1">
      <c r="A8" s="106" t="s">
        <v>202</v>
      </c>
      <c r="B8" s="15"/>
      <c r="C8" s="25"/>
      <c r="D8" s="25"/>
      <c r="E8" s="25"/>
      <c r="F8" s="25"/>
      <c r="G8" s="25"/>
      <c r="H8" s="25"/>
      <c r="I8" s="25"/>
    </row>
    <row r="9" spans="1:9" ht="26.25" customHeight="1">
      <c r="A9" s="36" t="s">
        <v>2</v>
      </c>
      <c r="B9" s="14" t="s">
        <v>3</v>
      </c>
      <c r="C9" s="25">
        <v>0</v>
      </c>
      <c r="D9" s="25">
        <v>0</v>
      </c>
      <c r="E9" s="25">
        <v>139.30000000000001</v>
      </c>
      <c r="F9" s="25">
        <v>0</v>
      </c>
      <c r="G9" s="25">
        <v>0</v>
      </c>
      <c r="H9" s="28">
        <v>0</v>
      </c>
      <c r="I9" s="28">
        <v>0</v>
      </c>
    </row>
    <row r="10" spans="1:9" ht="25.5" customHeight="1">
      <c r="A10" s="36" t="s">
        <v>203</v>
      </c>
      <c r="B10" s="14" t="s">
        <v>5</v>
      </c>
      <c r="C10" s="25"/>
      <c r="D10" s="25"/>
      <c r="E10" s="25"/>
      <c r="F10" s="25"/>
      <c r="G10" s="25"/>
      <c r="H10" s="28"/>
      <c r="I10" s="28"/>
    </row>
    <row r="11" spans="1:9" ht="30.75" customHeight="1">
      <c r="A11" s="36" t="s">
        <v>254</v>
      </c>
      <c r="B11" s="14" t="s">
        <v>6</v>
      </c>
      <c r="C11" s="25">
        <v>0</v>
      </c>
      <c r="D11" s="25">
        <v>0</v>
      </c>
      <c r="E11" s="25">
        <f>E9/E5*100</f>
        <v>10.931491799419291</v>
      </c>
      <c r="F11" s="25">
        <f t="shared" ref="F11:I11" si="1">F9/F5*100</f>
        <v>0</v>
      </c>
      <c r="G11" s="25">
        <f t="shared" si="1"/>
        <v>0</v>
      </c>
      <c r="H11" s="28">
        <f t="shared" si="1"/>
        <v>0</v>
      </c>
      <c r="I11" s="28">
        <f t="shared" si="1"/>
        <v>0</v>
      </c>
    </row>
    <row r="12" spans="1:9" s="29" customFormat="1" ht="15.75" customHeight="1">
      <c r="A12" s="30" t="s">
        <v>84</v>
      </c>
      <c r="B12" s="14"/>
      <c r="C12" s="25"/>
      <c r="D12" s="25"/>
      <c r="E12" s="25"/>
      <c r="F12" s="25"/>
      <c r="G12" s="25"/>
      <c r="H12" s="28"/>
      <c r="I12" s="28"/>
    </row>
    <row r="13" spans="1:9" s="29" customFormat="1" ht="31.5" hidden="1" customHeight="1">
      <c r="A13" s="34" t="s">
        <v>255</v>
      </c>
      <c r="B13" s="92"/>
      <c r="C13" s="25"/>
      <c r="D13" s="25"/>
      <c r="E13" s="25"/>
      <c r="F13" s="25"/>
      <c r="G13" s="25"/>
      <c r="H13" s="28"/>
      <c r="I13" s="28"/>
    </row>
    <row r="14" spans="1:9" ht="15.75" hidden="1" customHeight="1">
      <c r="A14" s="36" t="s">
        <v>2</v>
      </c>
      <c r="B14" s="14" t="s">
        <v>3</v>
      </c>
      <c r="C14" s="25"/>
      <c r="D14" s="25"/>
      <c r="E14" s="25"/>
      <c r="F14" s="25"/>
      <c r="G14" s="25"/>
      <c r="H14" s="28"/>
      <c r="I14" s="28"/>
    </row>
    <row r="15" spans="1:9" ht="25.5" hidden="1" customHeight="1">
      <c r="A15" s="36" t="s">
        <v>203</v>
      </c>
      <c r="B15" s="14" t="s">
        <v>5</v>
      </c>
      <c r="C15" s="25"/>
      <c r="D15" s="25"/>
      <c r="E15" s="25"/>
      <c r="F15" s="25"/>
      <c r="G15" s="25"/>
      <c r="H15" s="28"/>
      <c r="I15" s="28"/>
    </row>
    <row r="16" spans="1:9" ht="15.75" hidden="1" customHeight="1">
      <c r="A16" s="36" t="s">
        <v>205</v>
      </c>
      <c r="B16" s="14" t="s">
        <v>6</v>
      </c>
      <c r="C16" s="25"/>
      <c r="D16" s="25"/>
      <c r="E16" s="25"/>
      <c r="F16" s="25"/>
      <c r="G16" s="25"/>
      <c r="H16" s="28"/>
      <c r="I16" s="28"/>
    </row>
    <row r="17" spans="1:9" s="29" customFormat="1" ht="33.75" customHeight="1">
      <c r="A17" s="34" t="s">
        <v>256</v>
      </c>
      <c r="B17" s="14"/>
      <c r="C17" s="25"/>
      <c r="D17" s="25"/>
      <c r="E17" s="25"/>
      <c r="F17" s="25"/>
      <c r="G17" s="25"/>
      <c r="H17" s="28"/>
      <c r="I17" s="28"/>
    </row>
    <row r="18" spans="1:9" ht="27.75" customHeight="1">
      <c r="A18" s="36" t="s">
        <v>2</v>
      </c>
      <c r="B18" s="14" t="s">
        <v>3</v>
      </c>
      <c r="C18" s="25">
        <v>0</v>
      </c>
      <c r="D18" s="25">
        <v>0</v>
      </c>
      <c r="E18" s="25">
        <v>139.30000000000001</v>
      </c>
      <c r="F18" s="25">
        <v>0</v>
      </c>
      <c r="G18" s="25">
        <v>0</v>
      </c>
      <c r="H18" s="28">
        <v>0</v>
      </c>
      <c r="I18" s="28">
        <v>0</v>
      </c>
    </row>
    <row r="19" spans="1:9" ht="26.25" customHeight="1">
      <c r="A19" s="36" t="s">
        <v>203</v>
      </c>
      <c r="B19" s="14" t="s">
        <v>5</v>
      </c>
      <c r="C19" s="25"/>
      <c r="D19" s="25"/>
      <c r="E19" s="25"/>
      <c r="F19" s="25"/>
      <c r="G19" s="25"/>
      <c r="H19" s="28"/>
      <c r="I19" s="28"/>
    </row>
    <row r="20" spans="1:9" ht="33" customHeight="1">
      <c r="A20" s="36" t="s">
        <v>205</v>
      </c>
      <c r="B20" s="14" t="s">
        <v>6</v>
      </c>
      <c r="C20" s="25">
        <v>0</v>
      </c>
      <c r="D20" s="25">
        <v>0</v>
      </c>
      <c r="E20" s="25">
        <v>100</v>
      </c>
      <c r="F20" s="25">
        <v>0</v>
      </c>
      <c r="G20" s="25">
        <v>0</v>
      </c>
      <c r="H20" s="28">
        <v>0</v>
      </c>
      <c r="I20" s="28">
        <v>0</v>
      </c>
    </row>
    <row r="21" spans="1:9">
      <c r="A21" s="106" t="s">
        <v>211</v>
      </c>
      <c r="B21" s="15"/>
      <c r="C21" s="25"/>
      <c r="D21" s="25"/>
      <c r="E21" s="25"/>
      <c r="F21" s="25"/>
      <c r="G21" s="25"/>
      <c r="H21" s="28"/>
      <c r="I21" s="28"/>
    </row>
    <row r="22" spans="1:9" ht="27" customHeight="1">
      <c r="A22" s="36" t="s">
        <v>2</v>
      </c>
      <c r="B22" s="14" t="s">
        <v>3</v>
      </c>
      <c r="C22" s="25">
        <v>530.20000000000005</v>
      </c>
      <c r="D22" s="25">
        <f>D27+D31+D35+D39+D43+D47+D51+D55+D59+D63+D67+D71+D75</f>
        <v>667.6</v>
      </c>
      <c r="E22" s="25">
        <f>E27+E31+E35+E39+E43+E47+E51+E55+E59+E63+E67+E71+E75</f>
        <v>605.6</v>
      </c>
      <c r="F22" s="25">
        <f t="shared" ref="F22:I22" si="2">F27+F31+F35+F39+F43+F47+F51+F55+F59+F63+F67+F71+F75</f>
        <v>641.79999999999995</v>
      </c>
      <c r="G22" s="25">
        <f t="shared" si="2"/>
        <v>667.3</v>
      </c>
      <c r="H22" s="28">
        <f t="shared" si="2"/>
        <v>694.1</v>
      </c>
      <c r="I22" s="28">
        <f t="shared" si="2"/>
        <v>720.3</v>
      </c>
    </row>
    <row r="23" spans="1:9" ht="26.25" customHeight="1">
      <c r="A23" s="36" t="s">
        <v>203</v>
      </c>
      <c r="B23" s="14" t="s">
        <v>5</v>
      </c>
      <c r="C23" s="25">
        <v>100</v>
      </c>
      <c r="D23" s="25">
        <f>D22/1.058*100/C22</f>
        <v>119.01205023748929</v>
      </c>
      <c r="E23" s="25">
        <f>E22/1.063/D22*100</f>
        <v>85.336784381452048</v>
      </c>
      <c r="F23" s="25">
        <f>F22/1.08*100/E22</f>
        <v>98.127354567248858</v>
      </c>
      <c r="G23" s="25">
        <f>G22/1.062/F22*100</f>
        <v>97.903201858708343</v>
      </c>
      <c r="H23" s="28">
        <f>H22/1.043/G22*100</f>
        <v>99.727885546123332</v>
      </c>
      <c r="I23" s="28">
        <f>I22/1.035/H22*100</f>
        <v>100.26538380427996</v>
      </c>
    </row>
    <row r="24" spans="1:9" ht="30">
      <c r="A24" s="36" t="s">
        <v>204</v>
      </c>
      <c r="B24" s="14" t="s">
        <v>6</v>
      </c>
      <c r="C24" s="25">
        <v>59.1</v>
      </c>
      <c r="D24" s="25">
        <f>D22/D5*100</f>
        <v>62.073454207345421</v>
      </c>
      <c r="E24" s="25">
        <f>E22/E5*100</f>
        <v>47.524130895393554</v>
      </c>
      <c r="F24" s="25">
        <f t="shared" ref="F24:I24" si="3">F22/F5*100</f>
        <v>51.758064516129032</v>
      </c>
      <c r="G24" s="25">
        <f t="shared" si="3"/>
        <v>50.309107358262963</v>
      </c>
      <c r="H24" s="28">
        <f t="shared" si="3"/>
        <v>48.866516474232604</v>
      </c>
      <c r="I24" s="28">
        <f t="shared" si="3"/>
        <v>48.000799680127948</v>
      </c>
    </row>
    <row r="25" spans="1:9" s="29" customFormat="1">
      <c r="A25" s="30" t="s">
        <v>85</v>
      </c>
      <c r="B25" s="14"/>
      <c r="C25" s="25"/>
      <c r="D25" s="25"/>
      <c r="E25" s="25"/>
      <c r="F25" s="25"/>
      <c r="G25" s="25"/>
      <c r="H25" s="28"/>
      <c r="I25" s="28"/>
    </row>
    <row r="26" spans="1:9" s="29" customFormat="1" ht="30">
      <c r="A26" s="34" t="s">
        <v>257</v>
      </c>
      <c r="B26" s="14"/>
      <c r="C26" s="25"/>
      <c r="D26" s="25"/>
      <c r="E26" s="25"/>
      <c r="F26" s="25"/>
      <c r="G26" s="25"/>
      <c r="H26" s="28"/>
      <c r="I26" s="28"/>
    </row>
    <row r="27" spans="1:9" ht="27" customHeight="1">
      <c r="A27" s="36" t="s">
        <v>2</v>
      </c>
      <c r="B27" s="14" t="s">
        <v>3</v>
      </c>
      <c r="C27" s="25">
        <v>158.5</v>
      </c>
      <c r="D27" s="25">
        <v>156.30000000000001</v>
      </c>
      <c r="E27" s="31">
        <v>151.6</v>
      </c>
      <c r="F27" s="31">
        <v>154.4</v>
      </c>
      <c r="G27" s="31">
        <v>159</v>
      </c>
      <c r="H27" s="32">
        <v>163.69999999999999</v>
      </c>
      <c r="I27" s="32">
        <v>166.9</v>
      </c>
    </row>
    <row r="28" spans="1:9" ht="25.5" customHeight="1">
      <c r="A28" s="36" t="s">
        <v>203</v>
      </c>
      <c r="B28" s="14" t="s">
        <v>5</v>
      </c>
      <c r="C28" s="25">
        <v>118.1</v>
      </c>
      <c r="D28" s="25">
        <f>D27/1.049*100/C27</f>
        <v>94.005707704197803</v>
      </c>
      <c r="E28" s="25">
        <f>E27/1.054*100/D27</f>
        <v>92.023683351118905</v>
      </c>
      <c r="F28" s="25">
        <f>F27/1.077*100/E27</f>
        <v>94.565427761567733</v>
      </c>
      <c r="G28" s="25">
        <f>G27/1.062*100/F27</f>
        <v>96.96730189397266</v>
      </c>
      <c r="H28" s="28">
        <f>H27/1.048*100/G27</f>
        <v>98.240434010274114</v>
      </c>
      <c r="I28" s="28">
        <f>I27/1.038*100/H27</f>
        <v>98.222346201696567</v>
      </c>
    </row>
    <row r="29" spans="1:9" ht="30">
      <c r="A29" s="36" t="s">
        <v>206</v>
      </c>
      <c r="B29" s="14" t="s">
        <v>6</v>
      </c>
      <c r="C29" s="25">
        <v>29.9</v>
      </c>
      <c r="D29" s="25">
        <f>D27/D22*100</f>
        <v>23.412222887956862</v>
      </c>
      <c r="E29" s="25">
        <f>E27/E22*100</f>
        <v>25.033025099075296</v>
      </c>
      <c r="F29" s="25">
        <f t="shared" ref="F29:I29" si="4">F27/F22*100</f>
        <v>24.057338734808354</v>
      </c>
      <c r="G29" s="25">
        <f t="shared" si="4"/>
        <v>23.827364004196017</v>
      </c>
      <c r="H29" s="28">
        <f t="shared" si="4"/>
        <v>23.584497910963837</v>
      </c>
      <c r="I29" s="28">
        <f t="shared" si="4"/>
        <v>23.170901013466612</v>
      </c>
    </row>
    <row r="30" spans="1:9" s="29" customFormat="1" ht="30">
      <c r="A30" s="34" t="s">
        <v>258</v>
      </c>
      <c r="B30" s="14"/>
      <c r="C30" s="25"/>
      <c r="D30" s="25"/>
      <c r="E30" s="25"/>
      <c r="F30" s="25"/>
      <c r="G30" s="25"/>
      <c r="H30" s="25"/>
      <c r="I30" s="25"/>
    </row>
    <row r="31" spans="1:9" ht="27" customHeight="1">
      <c r="A31" s="36" t="s">
        <v>2</v>
      </c>
      <c r="B31" s="14" t="s">
        <v>3</v>
      </c>
      <c r="C31" s="25">
        <v>0.7</v>
      </c>
      <c r="D31" s="25">
        <v>1</v>
      </c>
      <c r="E31" s="33">
        <v>1.1000000000000001</v>
      </c>
      <c r="F31" s="33">
        <v>1.2</v>
      </c>
      <c r="G31" s="33">
        <v>1.2</v>
      </c>
      <c r="H31" s="33">
        <v>1.3</v>
      </c>
      <c r="I31" s="33">
        <v>1.4</v>
      </c>
    </row>
    <row r="32" spans="1:9" ht="25.5" customHeight="1">
      <c r="A32" s="36" t="s">
        <v>203</v>
      </c>
      <c r="B32" s="14" t="s">
        <v>5</v>
      </c>
      <c r="C32" s="25">
        <v>103.7</v>
      </c>
      <c r="D32" s="25">
        <f>D31/1.107*100/C31</f>
        <v>129.04890953671443</v>
      </c>
      <c r="E32" s="25">
        <f>E31/1.046/D31*100</f>
        <v>105.16252390057362</v>
      </c>
      <c r="F32" s="25">
        <f>F31/1.026*100/E31</f>
        <v>106.3264221158958</v>
      </c>
      <c r="G32" s="25">
        <f>G31/1.062/F31*100</f>
        <v>94.161958568738214</v>
      </c>
      <c r="H32" s="25">
        <f>H31/1.045/G31*100</f>
        <v>103.66826156299842</v>
      </c>
      <c r="I32" s="25">
        <f>I31/1.043/H31*100</f>
        <v>103.25245224574084</v>
      </c>
    </row>
    <row r="33" spans="1:9" ht="30">
      <c r="A33" s="36" t="s">
        <v>206</v>
      </c>
      <c r="B33" s="14" t="s">
        <v>6</v>
      </c>
      <c r="C33" s="25">
        <v>0.1</v>
      </c>
      <c r="D33" s="25">
        <f>D31/D22*100</f>
        <v>0.14979029358897544</v>
      </c>
      <c r="E33" s="25">
        <f>E31/E22*100</f>
        <v>0.18163804491413474</v>
      </c>
      <c r="F33" s="25">
        <f t="shared" ref="F33:I33" si="5">F31/F22*100</f>
        <v>0.1869741352446245</v>
      </c>
      <c r="G33" s="25">
        <f t="shared" si="5"/>
        <v>0.179829162295819</v>
      </c>
      <c r="H33" s="25">
        <f t="shared" si="5"/>
        <v>0.18729289727704942</v>
      </c>
      <c r="I33" s="25">
        <f t="shared" si="5"/>
        <v>0.1943634596695821</v>
      </c>
    </row>
    <row r="34" spans="1:9" s="29" customFormat="1" ht="15.75" hidden="1" customHeight="1">
      <c r="A34" s="34" t="s">
        <v>259</v>
      </c>
      <c r="B34" s="14"/>
      <c r="C34" s="25"/>
      <c r="D34" s="25"/>
      <c r="E34" s="25"/>
      <c r="F34" s="25"/>
      <c r="G34" s="25"/>
      <c r="H34" s="25"/>
      <c r="I34" s="25"/>
    </row>
    <row r="35" spans="1:9" ht="15.75" hidden="1" customHeight="1">
      <c r="A35" s="36" t="s">
        <v>2</v>
      </c>
      <c r="B35" s="14" t="s">
        <v>3</v>
      </c>
      <c r="C35" s="25"/>
      <c r="D35" s="25"/>
      <c r="E35" s="25"/>
      <c r="F35" s="25"/>
      <c r="G35" s="25"/>
      <c r="H35" s="25"/>
      <c r="I35" s="25"/>
    </row>
    <row r="36" spans="1:9" ht="24.75" hidden="1" customHeight="1">
      <c r="A36" s="36" t="s">
        <v>203</v>
      </c>
      <c r="B36" s="14" t="s">
        <v>5</v>
      </c>
      <c r="C36" s="25"/>
      <c r="D36" s="25"/>
      <c r="E36" s="25"/>
      <c r="F36" s="25"/>
      <c r="G36" s="25"/>
      <c r="H36" s="25"/>
      <c r="I36" s="25"/>
    </row>
    <row r="37" spans="1:9" ht="15.75" hidden="1" customHeight="1">
      <c r="A37" s="36" t="s">
        <v>206</v>
      </c>
      <c r="B37" s="14" t="s">
        <v>6</v>
      </c>
      <c r="C37" s="25"/>
      <c r="D37" s="25"/>
      <c r="E37" s="25"/>
      <c r="F37" s="25"/>
      <c r="G37" s="25"/>
      <c r="H37" s="25"/>
      <c r="I37" s="25"/>
    </row>
    <row r="38" spans="1:9" s="29" customFormat="1" ht="30">
      <c r="A38" s="34" t="s">
        <v>260</v>
      </c>
      <c r="B38" s="93"/>
      <c r="C38" s="25"/>
      <c r="D38" s="25"/>
      <c r="E38" s="25"/>
      <c r="F38" s="25"/>
      <c r="G38" s="25"/>
      <c r="H38" s="25"/>
      <c r="I38" s="25"/>
    </row>
    <row r="39" spans="1:9" ht="27" customHeight="1">
      <c r="A39" s="36" t="s">
        <v>2</v>
      </c>
      <c r="B39" s="14" t="s">
        <v>3</v>
      </c>
      <c r="C39" s="25">
        <v>29.3</v>
      </c>
      <c r="D39" s="25">
        <v>34.4</v>
      </c>
      <c r="E39" s="33">
        <v>42.6</v>
      </c>
      <c r="F39" s="33">
        <v>40.6</v>
      </c>
      <c r="G39" s="33">
        <v>41.4</v>
      </c>
      <c r="H39" s="33">
        <v>41.9</v>
      </c>
      <c r="I39" s="33">
        <v>42.4</v>
      </c>
    </row>
    <row r="40" spans="1:9" ht="26.25" customHeight="1">
      <c r="A40" s="36" t="s">
        <v>203</v>
      </c>
      <c r="B40" s="14" t="s">
        <v>5</v>
      </c>
      <c r="C40" s="25">
        <v>94.1</v>
      </c>
      <c r="D40" s="25">
        <f>D39/1.039*100/C39</f>
        <v>112.99917550020203</v>
      </c>
      <c r="E40" s="25">
        <f>E39/1.04/D39*100</f>
        <v>119.0742397137746</v>
      </c>
      <c r="F40" s="25">
        <f>F39/1.085*100/E39</f>
        <v>87.838861123731633</v>
      </c>
      <c r="G40" s="25">
        <f>G39/1.074/F39*100</f>
        <v>94.944546880590025</v>
      </c>
      <c r="H40" s="25">
        <f>H39/1.061/G39*100</f>
        <v>95.389000441657913</v>
      </c>
      <c r="I40" s="25">
        <f>I39/1.051/H39*100</f>
        <v>96.282890030860486</v>
      </c>
    </row>
    <row r="41" spans="1:9" ht="30">
      <c r="A41" s="36" t="s">
        <v>206</v>
      </c>
      <c r="B41" s="14" t="s">
        <v>6</v>
      </c>
      <c r="C41" s="25">
        <v>5.5</v>
      </c>
      <c r="D41" s="25">
        <f>D39/D22*100</f>
        <v>5.1527860994607542</v>
      </c>
      <c r="E41" s="25">
        <f>E39/E22*100</f>
        <v>7.0343461030383096</v>
      </c>
      <c r="F41" s="25">
        <f t="shared" ref="F41:I41" si="6">F39/F22*100</f>
        <v>6.3259582424431287</v>
      </c>
      <c r="G41" s="25">
        <f t="shared" si="6"/>
        <v>6.2041060992057551</v>
      </c>
      <c r="H41" s="25">
        <f t="shared" si="6"/>
        <v>6.0365941506987459</v>
      </c>
      <c r="I41" s="25">
        <f t="shared" si="6"/>
        <v>5.8864362071359162</v>
      </c>
    </row>
    <row r="42" spans="1:9" s="29" customFormat="1" ht="44.25" customHeight="1">
      <c r="A42" s="34" t="s">
        <v>261</v>
      </c>
      <c r="B42" s="14"/>
      <c r="C42" s="25"/>
      <c r="D42" s="25"/>
      <c r="E42" s="25"/>
      <c r="F42" s="25"/>
      <c r="G42" s="25"/>
      <c r="H42" s="25"/>
      <c r="I42" s="25"/>
    </row>
    <row r="43" spans="1:9" ht="27" customHeight="1">
      <c r="A43" s="36" t="s">
        <v>2</v>
      </c>
      <c r="B43" s="14" t="s">
        <v>3</v>
      </c>
      <c r="C43" s="25">
        <v>4.3</v>
      </c>
      <c r="D43" s="25">
        <v>5.0999999999999996</v>
      </c>
      <c r="E43" s="33">
        <v>5</v>
      </c>
      <c r="F43" s="33">
        <v>4.8</v>
      </c>
      <c r="G43" s="33">
        <v>4.5</v>
      </c>
      <c r="H43" s="33">
        <v>4.5</v>
      </c>
      <c r="I43" s="33">
        <v>4.5</v>
      </c>
    </row>
    <row r="44" spans="1:9" ht="27" customHeight="1">
      <c r="A44" s="36" t="s">
        <v>203</v>
      </c>
      <c r="B44" s="14" t="s">
        <v>5</v>
      </c>
      <c r="C44" s="25">
        <v>95.3</v>
      </c>
      <c r="D44" s="25">
        <f>D43/0.979*100/C43</f>
        <v>121.14877544718152</v>
      </c>
      <c r="E44" s="25">
        <f>E43/1.069/D43*100</f>
        <v>91.711146572754458</v>
      </c>
      <c r="F44" s="25">
        <f>F43/1.019*100/E43</f>
        <v>94.210009813542712</v>
      </c>
      <c r="G44" s="25">
        <f>G43/1.102/F43*100</f>
        <v>85.072595281306718</v>
      </c>
      <c r="H44" s="25">
        <f>H43/1.043/G43*100</f>
        <v>95.877277085330775</v>
      </c>
      <c r="I44" s="25">
        <f>I43/1.034/H43*100</f>
        <v>96.711798839458424</v>
      </c>
    </row>
    <row r="45" spans="1:9" ht="30">
      <c r="A45" s="36" t="s">
        <v>206</v>
      </c>
      <c r="B45" s="14" t="s">
        <v>6</v>
      </c>
      <c r="C45" s="25">
        <v>0.8</v>
      </c>
      <c r="D45" s="25">
        <f>D43/D22*100</f>
        <v>0.7639304973037746</v>
      </c>
      <c r="E45" s="25">
        <f>E43/E22*100</f>
        <v>0.82562747688243054</v>
      </c>
      <c r="F45" s="25">
        <f t="shared" ref="F45:I45" si="7">F43/F22*100</f>
        <v>0.747896540978498</v>
      </c>
      <c r="G45" s="25">
        <f t="shared" si="7"/>
        <v>0.67435935860932117</v>
      </c>
      <c r="H45" s="25">
        <f t="shared" si="7"/>
        <v>0.64832156749747871</v>
      </c>
      <c r="I45" s="25">
        <f t="shared" si="7"/>
        <v>0.62473969179508537</v>
      </c>
    </row>
    <row r="46" spans="1:9" s="29" customFormat="1" ht="15.75" hidden="1" customHeight="1">
      <c r="A46" s="30" t="s">
        <v>141</v>
      </c>
      <c r="B46" s="14"/>
      <c r="C46" s="25"/>
      <c r="D46" s="25"/>
      <c r="E46" s="25"/>
      <c r="F46" s="25"/>
      <c r="G46" s="25"/>
      <c r="H46" s="25"/>
      <c r="I46" s="25"/>
    </row>
    <row r="47" spans="1:9" ht="15.75" hidden="1" customHeight="1">
      <c r="A47" s="36" t="s">
        <v>2</v>
      </c>
      <c r="B47" s="14" t="s">
        <v>3</v>
      </c>
      <c r="C47" s="25"/>
      <c r="D47" s="25"/>
      <c r="E47" s="25"/>
      <c r="F47" s="25"/>
      <c r="G47" s="25"/>
      <c r="H47" s="25"/>
      <c r="I47" s="25"/>
    </row>
    <row r="48" spans="1:9" ht="24.75" hidden="1" customHeight="1">
      <c r="A48" s="36" t="s">
        <v>4</v>
      </c>
      <c r="B48" s="14" t="s">
        <v>5</v>
      </c>
      <c r="C48" s="25"/>
      <c r="D48" s="25"/>
      <c r="E48" s="25"/>
      <c r="F48" s="25"/>
      <c r="G48" s="25"/>
      <c r="H48" s="25"/>
      <c r="I48" s="25"/>
    </row>
    <row r="49" spans="1:9" ht="15.75" hidden="1" customHeight="1">
      <c r="A49" s="36" t="s">
        <v>206</v>
      </c>
      <c r="B49" s="14" t="s">
        <v>6</v>
      </c>
      <c r="C49" s="25"/>
      <c r="D49" s="25"/>
      <c r="E49" s="25"/>
      <c r="F49" s="25"/>
      <c r="G49" s="25"/>
      <c r="H49" s="25"/>
      <c r="I49" s="25"/>
    </row>
    <row r="50" spans="1:9" s="29" customFormat="1" ht="15.75" hidden="1" customHeight="1">
      <c r="A50" s="34" t="s">
        <v>262</v>
      </c>
      <c r="B50" s="14"/>
      <c r="C50" s="25"/>
      <c r="D50" s="25"/>
      <c r="E50" s="25"/>
      <c r="F50" s="25"/>
      <c r="G50" s="25"/>
      <c r="H50" s="25"/>
      <c r="I50" s="25"/>
    </row>
    <row r="51" spans="1:9" ht="15.75" hidden="1" customHeight="1">
      <c r="A51" s="36" t="s">
        <v>2</v>
      </c>
      <c r="B51" s="14" t="s">
        <v>3</v>
      </c>
      <c r="C51" s="25"/>
      <c r="D51" s="25"/>
      <c r="E51" s="25"/>
      <c r="F51" s="25"/>
      <c r="G51" s="25"/>
      <c r="H51" s="25"/>
      <c r="I51" s="25"/>
    </row>
    <row r="52" spans="1:9" ht="19.5" hidden="1" customHeight="1">
      <c r="A52" s="36" t="s">
        <v>203</v>
      </c>
      <c r="B52" s="14" t="s">
        <v>5</v>
      </c>
      <c r="C52" s="25"/>
      <c r="D52" s="25"/>
      <c r="E52" s="25"/>
      <c r="F52" s="25"/>
      <c r="G52" s="25"/>
      <c r="H52" s="25"/>
      <c r="I52" s="25"/>
    </row>
    <row r="53" spans="1:9" ht="16.5" hidden="1" customHeight="1">
      <c r="A53" s="36" t="s">
        <v>206</v>
      </c>
      <c r="B53" s="14" t="s">
        <v>6</v>
      </c>
      <c r="C53" s="25"/>
      <c r="D53" s="25"/>
      <c r="E53" s="25"/>
      <c r="F53" s="25"/>
      <c r="G53" s="25"/>
      <c r="H53" s="25"/>
      <c r="I53" s="25"/>
    </row>
    <row r="54" spans="1:9" s="29" customFormat="1" ht="15.75" hidden="1" customHeight="1">
      <c r="A54" s="34" t="s">
        <v>263</v>
      </c>
      <c r="B54" s="14"/>
      <c r="C54" s="25"/>
      <c r="D54" s="25"/>
      <c r="E54" s="25"/>
      <c r="F54" s="25"/>
      <c r="G54" s="25"/>
      <c r="H54" s="25"/>
      <c r="I54" s="25"/>
    </row>
    <row r="55" spans="1:9" ht="15.75" hidden="1" customHeight="1">
      <c r="A55" s="36" t="s">
        <v>2</v>
      </c>
      <c r="B55" s="14" t="s">
        <v>3</v>
      </c>
      <c r="C55" s="25"/>
      <c r="D55" s="25"/>
      <c r="E55" s="25"/>
      <c r="F55" s="25"/>
      <c r="G55" s="25"/>
      <c r="H55" s="25"/>
      <c r="I55" s="25"/>
    </row>
    <row r="56" spans="1:9" ht="22.5" hidden="1" customHeight="1">
      <c r="A56" s="36" t="s">
        <v>203</v>
      </c>
      <c r="B56" s="14" t="s">
        <v>5</v>
      </c>
      <c r="C56" s="25"/>
      <c r="D56" s="25"/>
      <c r="E56" s="25"/>
      <c r="F56" s="25"/>
      <c r="G56" s="25"/>
      <c r="H56" s="25"/>
      <c r="I56" s="25"/>
    </row>
    <row r="57" spans="1:9" ht="15.75" hidden="1" customHeight="1">
      <c r="A57" s="36" t="s">
        <v>206</v>
      </c>
      <c r="B57" s="14" t="s">
        <v>6</v>
      </c>
      <c r="C57" s="25"/>
      <c r="D57" s="25"/>
      <c r="E57" s="25"/>
      <c r="F57" s="25"/>
      <c r="G57" s="25"/>
      <c r="H57" s="25"/>
      <c r="I57" s="25"/>
    </row>
    <row r="58" spans="1:9" s="29" customFormat="1" ht="31.5" hidden="1" customHeight="1">
      <c r="A58" s="34" t="s">
        <v>264</v>
      </c>
      <c r="B58" s="14"/>
      <c r="C58" s="25"/>
      <c r="D58" s="25"/>
      <c r="E58" s="25"/>
      <c r="F58" s="25"/>
      <c r="G58" s="25"/>
      <c r="H58" s="25"/>
      <c r="I58" s="25"/>
    </row>
    <row r="59" spans="1:9" ht="15.75" hidden="1" customHeight="1">
      <c r="A59" s="36" t="s">
        <v>2</v>
      </c>
      <c r="B59" s="14" t="s">
        <v>3</v>
      </c>
      <c r="C59" s="25"/>
      <c r="D59" s="25"/>
      <c r="E59" s="25"/>
      <c r="F59" s="25"/>
      <c r="G59" s="25"/>
      <c r="H59" s="25"/>
      <c r="I59" s="25"/>
    </row>
    <row r="60" spans="1:9" ht="21" hidden="1" customHeight="1">
      <c r="A60" s="36" t="s">
        <v>203</v>
      </c>
      <c r="B60" s="14" t="s">
        <v>5</v>
      </c>
      <c r="C60" s="25"/>
      <c r="D60" s="25"/>
      <c r="E60" s="25"/>
      <c r="F60" s="25"/>
      <c r="G60" s="25"/>
      <c r="H60" s="25"/>
      <c r="I60" s="25"/>
    </row>
    <row r="61" spans="1:9" ht="15.75" hidden="1" customHeight="1">
      <c r="A61" s="36" t="s">
        <v>206</v>
      </c>
      <c r="B61" s="14" t="s">
        <v>6</v>
      </c>
      <c r="C61" s="25"/>
      <c r="D61" s="25"/>
      <c r="E61" s="25"/>
      <c r="F61" s="25"/>
      <c r="G61" s="25"/>
      <c r="H61" s="25"/>
      <c r="I61" s="25"/>
    </row>
    <row r="62" spans="1:9" s="29" customFormat="1" ht="30">
      <c r="A62" s="34" t="s">
        <v>265</v>
      </c>
      <c r="B62" s="14"/>
      <c r="C62" s="25"/>
      <c r="D62" s="25"/>
      <c r="E62" s="25"/>
      <c r="F62" s="25"/>
      <c r="G62" s="25"/>
      <c r="H62" s="25"/>
      <c r="I62" s="25"/>
    </row>
    <row r="63" spans="1:9" ht="27" customHeight="1">
      <c r="A63" s="36" t="s">
        <v>2</v>
      </c>
      <c r="B63" s="14" t="s">
        <v>3</v>
      </c>
      <c r="C63" s="25">
        <v>32.799999999999997</v>
      </c>
      <c r="D63" s="25">
        <v>25.2</v>
      </c>
      <c r="E63" s="33">
        <v>27.8</v>
      </c>
      <c r="F63" s="33">
        <v>27.9</v>
      </c>
      <c r="G63" s="33">
        <v>28</v>
      </c>
      <c r="H63" s="33">
        <v>28.2</v>
      </c>
      <c r="I63" s="33">
        <v>28.2</v>
      </c>
    </row>
    <row r="64" spans="1:9" ht="27" customHeight="1">
      <c r="A64" s="36" t="s">
        <v>4</v>
      </c>
      <c r="B64" s="14" t="s">
        <v>5</v>
      </c>
      <c r="C64" s="25">
        <v>91.1</v>
      </c>
      <c r="D64" s="25">
        <f>D63/0.994*100/C63</f>
        <v>77.29302645139127</v>
      </c>
      <c r="E64" s="25">
        <f>E63/1.004/D63*100</f>
        <v>109.87794852336685</v>
      </c>
      <c r="F64" s="25">
        <f>F63/1.028*100/E63</f>
        <v>97.626179212272206</v>
      </c>
      <c r="G64" s="25">
        <f>G63/1.079/F63*100</f>
        <v>93.010586597838838</v>
      </c>
      <c r="H64" s="25">
        <f>H63/1.056/G63*100</f>
        <v>95.373376623376615</v>
      </c>
      <c r="I64" s="25">
        <f>I63/1.023/H63*100</f>
        <v>97.75171065493646</v>
      </c>
    </row>
    <row r="65" spans="1:9" ht="30">
      <c r="A65" s="36" t="s">
        <v>206</v>
      </c>
      <c r="B65" s="14" t="s">
        <v>6</v>
      </c>
      <c r="C65" s="25">
        <v>6.2</v>
      </c>
      <c r="D65" s="25">
        <f>D63/D22*100</f>
        <v>3.7747153984421806</v>
      </c>
      <c r="E65" s="25">
        <f>E63/E22*100</f>
        <v>4.5904887714663145</v>
      </c>
      <c r="F65" s="25">
        <f t="shared" ref="F65:I65" si="8">F63/F22*100</f>
        <v>4.3471486444375191</v>
      </c>
      <c r="G65" s="25">
        <f t="shared" si="8"/>
        <v>4.1960137869024434</v>
      </c>
      <c r="H65" s="25">
        <f t="shared" si="8"/>
        <v>4.0628151563175336</v>
      </c>
      <c r="I65" s="25">
        <f t="shared" si="8"/>
        <v>3.9150354019158686</v>
      </c>
    </row>
    <row r="66" spans="1:9" s="29" customFormat="1" ht="34.5" hidden="1" customHeight="1">
      <c r="A66" s="34" t="s">
        <v>266</v>
      </c>
      <c r="B66" s="14"/>
      <c r="C66" s="25"/>
      <c r="D66" s="25"/>
      <c r="E66" s="25"/>
      <c r="F66" s="25"/>
      <c r="G66" s="25"/>
      <c r="H66" s="25"/>
      <c r="I66" s="25"/>
    </row>
    <row r="67" spans="1:9" ht="15.75" hidden="1" customHeight="1">
      <c r="A67" s="36" t="s">
        <v>2</v>
      </c>
      <c r="B67" s="14" t="s">
        <v>3</v>
      </c>
      <c r="C67" s="25"/>
      <c r="D67" s="25"/>
      <c r="E67" s="25"/>
      <c r="F67" s="25"/>
      <c r="G67" s="25"/>
      <c r="H67" s="25"/>
      <c r="I67" s="25"/>
    </row>
    <row r="68" spans="1:9" ht="24.75" hidden="1" customHeight="1">
      <c r="A68" s="36" t="s">
        <v>203</v>
      </c>
      <c r="B68" s="14" t="s">
        <v>5</v>
      </c>
      <c r="C68" s="25"/>
      <c r="D68" s="25"/>
      <c r="E68" s="25"/>
      <c r="F68" s="25"/>
      <c r="G68" s="25"/>
      <c r="H68" s="25"/>
      <c r="I68" s="25"/>
    </row>
    <row r="69" spans="1:9" ht="15.75" hidden="1" customHeight="1">
      <c r="A69" s="36" t="s">
        <v>206</v>
      </c>
      <c r="B69" s="14" t="s">
        <v>6</v>
      </c>
      <c r="C69" s="25"/>
      <c r="D69" s="25"/>
      <c r="E69" s="25"/>
      <c r="F69" s="25"/>
      <c r="G69" s="25"/>
      <c r="H69" s="25"/>
      <c r="I69" s="25"/>
    </row>
    <row r="70" spans="1:9" s="29" customFormat="1" ht="45">
      <c r="A70" s="34" t="s">
        <v>267</v>
      </c>
      <c r="B70" s="14"/>
      <c r="C70" s="25"/>
      <c r="D70" s="25"/>
      <c r="E70" s="25"/>
      <c r="F70" s="25"/>
      <c r="G70" s="25"/>
      <c r="H70" s="25"/>
      <c r="I70" s="25"/>
    </row>
    <row r="71" spans="1:9" ht="27" customHeight="1">
      <c r="A71" s="36" t="s">
        <v>2</v>
      </c>
      <c r="B71" s="14" t="s">
        <v>3</v>
      </c>
      <c r="C71" s="25">
        <v>304.60000000000002</v>
      </c>
      <c r="D71" s="25">
        <v>445.6</v>
      </c>
      <c r="E71" s="33">
        <v>377.5</v>
      </c>
      <c r="F71" s="33">
        <v>412.9</v>
      </c>
      <c r="G71" s="33">
        <v>433.2</v>
      </c>
      <c r="H71" s="33">
        <v>454.5</v>
      </c>
      <c r="I71" s="33">
        <v>476.9</v>
      </c>
    </row>
    <row r="72" spans="1:9" ht="27.75" customHeight="1">
      <c r="A72" s="36" t="s">
        <v>203</v>
      </c>
      <c r="B72" s="14" t="s">
        <v>5</v>
      </c>
      <c r="C72" s="25">
        <v>96.8</v>
      </c>
      <c r="D72" s="25">
        <f>D71/1.049*100/C71</f>
        <v>139.45683191383219</v>
      </c>
      <c r="E72" s="25">
        <f>E71/1.091/D71*100</f>
        <v>77.650994673244611</v>
      </c>
      <c r="F72" s="25">
        <f>F71/1.048*100/E71</f>
        <v>104.36782771346239</v>
      </c>
      <c r="G72" s="25">
        <f>G71/1.069/F71*100</f>
        <v>98.144475827618251</v>
      </c>
      <c r="H72" s="25">
        <f>H71/1.05/G71*100</f>
        <v>99.920854768500206</v>
      </c>
      <c r="I72" s="25">
        <f>I71/1.049/H71*100</f>
        <v>100.02716191542891</v>
      </c>
    </row>
    <row r="73" spans="1:9" ht="30">
      <c r="A73" s="36" t="s">
        <v>206</v>
      </c>
      <c r="B73" s="14" t="s">
        <v>6</v>
      </c>
      <c r="C73" s="25">
        <v>57.5</v>
      </c>
      <c r="D73" s="25">
        <f>D71/D22*100</f>
        <v>66.74655482324745</v>
      </c>
      <c r="E73" s="25">
        <f>E71/E22*100</f>
        <v>62.334874504623514</v>
      </c>
      <c r="F73" s="25">
        <f t="shared" ref="F73:I73" si="9">F71/F22*100</f>
        <v>64.334683702087887</v>
      </c>
      <c r="G73" s="25">
        <f t="shared" si="9"/>
        <v>64.918327588790646</v>
      </c>
      <c r="H73" s="25">
        <f t="shared" si="9"/>
        <v>65.480478317245343</v>
      </c>
      <c r="I73" s="25">
        <f t="shared" si="9"/>
        <v>66.208524226016934</v>
      </c>
    </row>
    <row r="74" spans="1:9" s="29" customFormat="1" ht="31.5" hidden="1" customHeight="1">
      <c r="A74" s="34" t="s">
        <v>268</v>
      </c>
      <c r="B74" s="14"/>
      <c r="C74" s="25"/>
      <c r="D74" s="25"/>
      <c r="E74" s="25"/>
      <c r="F74" s="25"/>
      <c r="G74" s="25"/>
      <c r="H74" s="25"/>
      <c r="I74" s="25"/>
    </row>
    <row r="75" spans="1:9" ht="15.75" hidden="1" customHeight="1">
      <c r="A75" s="36" t="s">
        <v>2</v>
      </c>
      <c r="B75" s="14" t="s">
        <v>3</v>
      </c>
      <c r="C75" s="25">
        <v>0</v>
      </c>
      <c r="D75" s="25">
        <v>0</v>
      </c>
      <c r="E75" s="25"/>
      <c r="F75" s="25"/>
      <c r="G75" s="25"/>
      <c r="H75" s="25"/>
      <c r="I75" s="25"/>
    </row>
    <row r="76" spans="1:9" ht="24.75" hidden="1" customHeight="1">
      <c r="A76" s="36" t="s">
        <v>203</v>
      </c>
      <c r="B76" s="14" t="s">
        <v>5</v>
      </c>
      <c r="C76" s="25"/>
      <c r="D76" s="25">
        <v>0</v>
      </c>
      <c r="E76" s="25"/>
      <c r="F76" s="25"/>
      <c r="G76" s="25"/>
      <c r="H76" s="25"/>
      <c r="I76" s="25"/>
    </row>
    <row r="77" spans="1:9" ht="15.75" hidden="1" customHeight="1">
      <c r="A77" s="36" t="s">
        <v>206</v>
      </c>
      <c r="B77" s="14" t="s">
        <v>6</v>
      </c>
      <c r="C77" s="25">
        <f>C75/C22*100</f>
        <v>0</v>
      </c>
      <c r="D77" s="25">
        <f>D75/D22*100</f>
        <v>0</v>
      </c>
      <c r="E77" s="25">
        <f>E75/E22*100</f>
        <v>0</v>
      </c>
      <c r="F77" s="25"/>
      <c r="G77" s="25"/>
      <c r="H77" s="25"/>
      <c r="I77" s="25"/>
    </row>
    <row r="78" spans="1:9" s="29" customFormat="1" ht="15.75" hidden="1" customHeight="1">
      <c r="A78" s="30" t="s">
        <v>86</v>
      </c>
      <c r="B78" s="14"/>
      <c r="C78" s="25"/>
      <c r="D78" s="25"/>
      <c r="E78" s="25"/>
      <c r="F78" s="25"/>
      <c r="G78" s="25"/>
      <c r="H78" s="25"/>
      <c r="I78" s="25"/>
    </row>
    <row r="79" spans="1:9" ht="15.75" hidden="1" customHeight="1">
      <c r="A79" s="36" t="s">
        <v>2</v>
      </c>
      <c r="B79" s="14" t="s">
        <v>3</v>
      </c>
      <c r="C79" s="25"/>
      <c r="D79" s="25"/>
      <c r="E79" s="25"/>
      <c r="F79" s="25"/>
      <c r="G79" s="25"/>
      <c r="H79" s="25"/>
      <c r="I79" s="25"/>
    </row>
    <row r="80" spans="1:9" ht="27" hidden="1" customHeight="1">
      <c r="A80" s="36" t="s">
        <v>203</v>
      </c>
      <c r="B80" s="14" t="s">
        <v>5</v>
      </c>
      <c r="C80" s="25"/>
      <c r="D80" s="25"/>
      <c r="E80" s="25"/>
      <c r="F80" s="25"/>
      <c r="G80" s="25"/>
      <c r="H80" s="25"/>
      <c r="I80" s="25"/>
    </row>
    <row r="81" spans="1:9" ht="15.75" hidden="1" customHeight="1">
      <c r="A81" s="36" t="s">
        <v>206</v>
      </c>
      <c r="B81" s="14" t="s">
        <v>6</v>
      </c>
      <c r="C81" s="25"/>
      <c r="D81" s="25"/>
      <c r="E81" s="25"/>
      <c r="F81" s="25"/>
      <c r="G81" s="25"/>
      <c r="H81" s="25"/>
      <c r="I81" s="25"/>
    </row>
    <row r="82" spans="1:9" s="29" customFormat="1" ht="15.75" hidden="1" customHeight="1">
      <c r="A82" s="30" t="s">
        <v>87</v>
      </c>
      <c r="B82" s="14"/>
      <c r="C82" s="25"/>
      <c r="D82" s="25"/>
      <c r="E82" s="25"/>
      <c r="F82" s="25"/>
      <c r="G82" s="25"/>
      <c r="H82" s="25"/>
      <c r="I82" s="25"/>
    </row>
    <row r="83" spans="1:9" ht="15.75" hidden="1" customHeight="1">
      <c r="A83" s="36" t="s">
        <v>2</v>
      </c>
      <c r="B83" s="14" t="s">
        <v>3</v>
      </c>
      <c r="C83" s="25"/>
      <c r="D83" s="25"/>
      <c r="E83" s="25"/>
      <c r="F83" s="25"/>
      <c r="G83" s="25"/>
      <c r="H83" s="25"/>
      <c r="I83" s="25"/>
    </row>
    <row r="84" spans="1:9" ht="25.5" hidden="1" customHeight="1">
      <c r="A84" s="36" t="s">
        <v>4</v>
      </c>
      <c r="B84" s="14" t="s">
        <v>5</v>
      </c>
      <c r="C84" s="25"/>
      <c r="D84" s="25"/>
      <c r="E84" s="25"/>
      <c r="F84" s="25"/>
      <c r="G84" s="25"/>
      <c r="H84" s="25"/>
      <c r="I84" s="25"/>
    </row>
    <row r="85" spans="1:9" ht="15.75" hidden="1" customHeight="1">
      <c r="A85" s="36" t="s">
        <v>206</v>
      </c>
      <c r="B85" s="14" t="s">
        <v>6</v>
      </c>
      <c r="C85" s="25"/>
      <c r="D85" s="25"/>
      <c r="E85" s="25"/>
      <c r="F85" s="25"/>
      <c r="G85" s="25"/>
      <c r="H85" s="25"/>
      <c r="I85" s="25"/>
    </row>
    <row r="86" spans="1:9" ht="28.5">
      <c r="A86" s="106" t="s">
        <v>212</v>
      </c>
      <c r="B86" s="15"/>
      <c r="C86" s="25"/>
      <c r="D86" s="25"/>
      <c r="E86" s="25"/>
      <c r="F86" s="25"/>
      <c r="G86" s="25"/>
      <c r="H86" s="25"/>
      <c r="I86" s="25"/>
    </row>
    <row r="87" spans="1:9" ht="27" customHeight="1">
      <c r="A87" s="36" t="s">
        <v>2</v>
      </c>
      <c r="B87" s="14" t="s">
        <v>3</v>
      </c>
      <c r="C87" s="28">
        <v>366.8</v>
      </c>
      <c r="D87" s="28">
        <v>407.9</v>
      </c>
      <c r="E87" s="28">
        <v>529.4</v>
      </c>
      <c r="F87" s="28">
        <v>598.20000000000005</v>
      </c>
      <c r="G87" s="35">
        <v>659.1</v>
      </c>
      <c r="H87" s="35">
        <v>726.3</v>
      </c>
      <c r="I87" s="35">
        <v>780.3</v>
      </c>
    </row>
    <row r="88" spans="1:9" ht="25.5" customHeight="1">
      <c r="A88" s="36" t="s">
        <v>203</v>
      </c>
      <c r="B88" s="14" t="s">
        <v>5</v>
      </c>
      <c r="C88" s="25">
        <v>103.8</v>
      </c>
      <c r="D88" s="25">
        <f>D87/1.012/C87*100</f>
        <v>109.88637980008704</v>
      </c>
      <c r="E88" s="25">
        <f>E87/1.099/D87*100</f>
        <v>118.0952797356843</v>
      </c>
      <c r="F88" s="25">
        <f>F87/1.077/E87*100</f>
        <v>104.91721852562372</v>
      </c>
      <c r="G88" s="25">
        <f>G87/1.073/F87*100</f>
        <v>102.68456814992975</v>
      </c>
      <c r="H88" s="25">
        <f>H87/1.077/G87*100</f>
        <v>102.31729010058031</v>
      </c>
      <c r="I88" s="25">
        <f>I87/1.054/H87*100</f>
        <v>101.93068713274972</v>
      </c>
    </row>
    <row r="89" spans="1:9" ht="30">
      <c r="A89" s="36" t="s">
        <v>204</v>
      </c>
      <c r="B89" s="14" t="s">
        <v>6</v>
      </c>
      <c r="C89" s="25">
        <v>40.9</v>
      </c>
      <c r="D89" s="25">
        <f>D87/D5*100</f>
        <v>37.926545792654579</v>
      </c>
      <c r="E89" s="25">
        <f>E87/E5*100</f>
        <v>41.544377305187162</v>
      </c>
      <c r="F89" s="25">
        <f t="shared" ref="F89:I89" si="10">F87/F5*100</f>
        <v>48.241935483870975</v>
      </c>
      <c r="G89" s="25">
        <f t="shared" si="10"/>
        <v>49.690892641737037</v>
      </c>
      <c r="H89" s="25">
        <f t="shared" si="10"/>
        <v>51.133483525767389</v>
      </c>
      <c r="I89" s="25">
        <f t="shared" si="10"/>
        <v>51.999200319872052</v>
      </c>
    </row>
    <row r="90" spans="1:9" s="29" customFormat="1">
      <c r="A90" s="30" t="s">
        <v>88</v>
      </c>
      <c r="B90" s="14"/>
      <c r="C90" s="25"/>
      <c r="D90" s="25"/>
      <c r="E90" s="25"/>
      <c r="F90" s="25"/>
      <c r="G90" s="25"/>
      <c r="H90" s="25"/>
      <c r="I90" s="25"/>
    </row>
    <row r="91" spans="1:9" s="29" customFormat="1" ht="45">
      <c r="A91" s="30" t="s">
        <v>139</v>
      </c>
      <c r="B91" s="14"/>
      <c r="C91" s="25"/>
      <c r="D91" s="25"/>
      <c r="E91" s="25"/>
      <c r="F91" s="25"/>
      <c r="G91" s="25"/>
      <c r="H91" s="25"/>
      <c r="I91" s="25"/>
    </row>
    <row r="92" spans="1:9" ht="27" customHeight="1">
      <c r="A92" s="36" t="s">
        <v>2</v>
      </c>
      <c r="B92" s="14" t="s">
        <v>3</v>
      </c>
      <c r="C92" s="28">
        <v>320.2</v>
      </c>
      <c r="D92" s="28">
        <v>356.1</v>
      </c>
      <c r="E92" s="28">
        <v>481.9</v>
      </c>
      <c r="F92" s="28">
        <v>545.79999999999995</v>
      </c>
      <c r="G92" s="35">
        <v>600.1</v>
      </c>
      <c r="H92" s="35">
        <v>662.3</v>
      </c>
      <c r="I92" s="35">
        <v>710.3</v>
      </c>
    </row>
    <row r="93" spans="1:9" ht="30" customHeight="1">
      <c r="A93" s="36" t="s">
        <v>203</v>
      </c>
      <c r="B93" s="14" t="s">
        <v>5</v>
      </c>
      <c r="C93" s="25">
        <v>103.7</v>
      </c>
      <c r="D93" s="25">
        <f>D92/1.012*100/C92</f>
        <v>109.89302634470059</v>
      </c>
      <c r="E93" s="25">
        <f>E92/1.099/D92*100</f>
        <v>123.13662902043392</v>
      </c>
      <c r="F93" s="25">
        <f>F92/1.077/E92*100</f>
        <v>105.16249995423948</v>
      </c>
      <c r="G93" s="25">
        <f>G92/1.073/F92*100</f>
        <v>102.46849874855587</v>
      </c>
      <c r="H93" s="25">
        <f>H92/1.077/G92*100</f>
        <v>102.47440963491536</v>
      </c>
      <c r="I93" s="25">
        <f>I92/1.054/H92*100</f>
        <v>101.75281872355006</v>
      </c>
    </row>
    <row r="94" spans="1:9" ht="30" customHeight="1">
      <c r="A94" s="36" t="s">
        <v>207</v>
      </c>
      <c r="B94" s="14" t="s">
        <v>6</v>
      </c>
      <c r="C94" s="25">
        <v>87.3</v>
      </c>
      <c r="D94" s="25">
        <f>D92/D87*100</f>
        <v>87.300809021819077</v>
      </c>
      <c r="E94" s="25">
        <f>E92/E87*100</f>
        <v>91.027578390630907</v>
      </c>
      <c r="F94" s="25">
        <f t="shared" ref="F94:I94" si="11">F92/F87*100</f>
        <v>91.240387830157118</v>
      </c>
      <c r="G94" s="25">
        <f t="shared" si="11"/>
        <v>91.048399332423003</v>
      </c>
      <c r="H94" s="25">
        <f t="shared" si="11"/>
        <v>91.18821423654137</v>
      </c>
      <c r="I94" s="25">
        <f t="shared" si="11"/>
        <v>91.029091375112131</v>
      </c>
    </row>
    <row r="95" spans="1:9" s="29" customFormat="1">
      <c r="A95" s="30" t="s">
        <v>140</v>
      </c>
      <c r="B95" s="14"/>
      <c r="C95" s="25"/>
      <c r="D95" s="25"/>
      <c r="E95" s="25"/>
      <c r="F95" s="25"/>
      <c r="G95" s="25"/>
      <c r="H95" s="25"/>
      <c r="I95" s="25"/>
    </row>
    <row r="96" spans="1:9" ht="26.25" customHeight="1">
      <c r="A96" s="36" t="s">
        <v>2</v>
      </c>
      <c r="B96" s="14" t="s">
        <v>3</v>
      </c>
      <c r="C96" s="28">
        <v>46.6</v>
      </c>
      <c r="D96" s="28">
        <v>51.8</v>
      </c>
      <c r="E96" s="28">
        <v>47.5</v>
      </c>
      <c r="F96" s="28">
        <f>F87-F92</f>
        <v>52.400000000000091</v>
      </c>
      <c r="G96" s="28">
        <f t="shared" ref="G96:I96" si="12">G87-G92</f>
        <v>59</v>
      </c>
      <c r="H96" s="28">
        <f t="shared" si="12"/>
        <v>64</v>
      </c>
      <c r="I96" s="28">
        <f t="shared" si="12"/>
        <v>70</v>
      </c>
    </row>
    <row r="97" spans="1:9" ht="26.25" customHeight="1">
      <c r="A97" s="36" t="s">
        <v>203</v>
      </c>
      <c r="B97" s="14" t="s">
        <v>5</v>
      </c>
      <c r="C97" s="25">
        <v>104.7</v>
      </c>
      <c r="D97" s="25">
        <f>D96/1.012*100/C96</f>
        <v>109.84070976606897</v>
      </c>
      <c r="E97" s="25">
        <f>E96/1.099/D96*100</f>
        <v>83.438436486662155</v>
      </c>
      <c r="F97" s="25">
        <f>F96/1.077/E96*100</f>
        <v>102.42877388457234</v>
      </c>
      <c r="G97" s="25">
        <f>G96/1.073/F96*100</f>
        <v>104.93515363217898</v>
      </c>
      <c r="H97" s="25">
        <f>H96/1.077/G96*100</f>
        <v>100.71919802338573</v>
      </c>
      <c r="I97" s="25">
        <f>I96/1.054/H96*100</f>
        <v>103.77134724857684</v>
      </c>
    </row>
    <row r="98" spans="1:9" ht="30">
      <c r="A98" s="36" t="s">
        <v>207</v>
      </c>
      <c r="B98" s="14" t="s">
        <v>6</v>
      </c>
      <c r="C98" s="25">
        <v>12.7</v>
      </c>
      <c r="D98" s="25">
        <f>D96/D87*100</f>
        <v>12.699190978180926</v>
      </c>
      <c r="E98" s="25">
        <f>E96/E87*100</f>
        <v>8.9724216093690981</v>
      </c>
      <c r="F98" s="25">
        <f t="shared" ref="F98:I98" si="13">F96/F87*100</f>
        <v>8.7596121698428764</v>
      </c>
      <c r="G98" s="25">
        <f t="shared" si="13"/>
        <v>8.951600667576999</v>
      </c>
      <c r="H98" s="25">
        <f t="shared" si="13"/>
        <v>8.8117857634586265</v>
      </c>
      <c r="I98" s="25">
        <f t="shared" si="13"/>
        <v>8.9709086248878656</v>
      </c>
    </row>
    <row r="99" spans="1:9" ht="39" customHeight="1">
      <c r="A99" s="106" t="s">
        <v>218</v>
      </c>
      <c r="B99" s="15"/>
      <c r="C99" s="25"/>
      <c r="D99" s="25"/>
      <c r="E99" s="25"/>
      <c r="F99" s="25"/>
      <c r="G99" s="25"/>
      <c r="H99" s="25"/>
      <c r="I99" s="25"/>
    </row>
    <row r="100" spans="1:9" ht="30">
      <c r="A100" s="107" t="s">
        <v>219</v>
      </c>
      <c r="B100" s="115" t="s">
        <v>9</v>
      </c>
      <c r="C100" s="25"/>
      <c r="D100" s="25"/>
      <c r="E100" s="25"/>
      <c r="F100" s="25"/>
      <c r="G100" s="25"/>
      <c r="H100" s="25"/>
      <c r="I100" s="25"/>
    </row>
    <row r="101" spans="1:9" ht="30.75" customHeight="1">
      <c r="A101" s="107" t="s">
        <v>220</v>
      </c>
      <c r="B101" s="115" t="s">
        <v>221</v>
      </c>
      <c r="C101" s="25"/>
      <c r="D101" s="25"/>
      <c r="E101" s="25"/>
      <c r="F101" s="25"/>
      <c r="G101" s="25"/>
      <c r="H101" s="25"/>
      <c r="I101" s="25"/>
    </row>
    <row r="102" spans="1:9">
      <c r="A102" s="36" t="s">
        <v>222</v>
      </c>
      <c r="B102" s="14" t="s">
        <v>8</v>
      </c>
      <c r="C102" s="25"/>
      <c r="D102" s="25"/>
      <c r="E102" s="25"/>
      <c r="F102" s="25"/>
      <c r="G102" s="25"/>
      <c r="H102" s="25"/>
      <c r="I102" s="25"/>
    </row>
    <row r="103" spans="1:9">
      <c r="A103" s="36" t="s">
        <v>223</v>
      </c>
      <c r="B103" s="14" t="s">
        <v>8</v>
      </c>
      <c r="C103" s="37"/>
      <c r="D103" s="37"/>
      <c r="E103" s="37"/>
      <c r="F103" s="37"/>
      <c r="G103" s="37"/>
      <c r="H103" s="37"/>
      <c r="I103" s="37"/>
    </row>
    <row r="104" spans="1:9" ht="30">
      <c r="A104" s="36" t="s">
        <v>231</v>
      </c>
      <c r="B104" s="14" t="s">
        <v>232</v>
      </c>
      <c r="C104" s="37"/>
      <c r="D104" s="37"/>
      <c r="E104" s="37"/>
      <c r="F104" s="37"/>
      <c r="G104" s="37"/>
      <c r="H104" s="37"/>
      <c r="I104" s="37"/>
    </row>
    <row r="105" spans="1:9">
      <c r="A105" s="36" t="s">
        <v>233</v>
      </c>
      <c r="B105" s="14" t="s">
        <v>232</v>
      </c>
      <c r="C105" s="38"/>
      <c r="D105" s="38"/>
      <c r="E105" s="38"/>
      <c r="F105" s="38"/>
      <c r="G105" s="38"/>
      <c r="H105" s="38"/>
      <c r="I105" s="38"/>
    </row>
    <row r="106" spans="1:9">
      <c r="A106" s="36" t="s">
        <v>224</v>
      </c>
      <c r="B106" s="14" t="s">
        <v>9</v>
      </c>
      <c r="C106" s="38"/>
      <c r="D106" s="38"/>
      <c r="E106" s="38"/>
      <c r="F106" s="38"/>
      <c r="G106" s="38"/>
      <c r="H106" s="38"/>
      <c r="I106" s="38"/>
    </row>
    <row r="107" spans="1:9" ht="25.5">
      <c r="A107" s="36" t="s">
        <v>225</v>
      </c>
      <c r="B107" s="14" t="s">
        <v>10</v>
      </c>
      <c r="C107" s="38">
        <v>106.252</v>
      </c>
      <c r="D107" s="39">
        <v>83.183999999999997</v>
      </c>
      <c r="E107" s="39">
        <v>92.495999999999995</v>
      </c>
      <c r="F107" s="40">
        <v>80.194999999999993</v>
      </c>
      <c r="G107" s="40">
        <v>83.863</v>
      </c>
      <c r="H107" s="40">
        <v>84.701999999999998</v>
      </c>
      <c r="I107" s="40">
        <v>85.548000000000002</v>
      </c>
    </row>
    <row r="108" spans="1:9" ht="25.5">
      <c r="A108" s="36" t="s">
        <v>226</v>
      </c>
      <c r="B108" s="14" t="s">
        <v>10</v>
      </c>
      <c r="C108" s="38">
        <v>6.9790000000000001</v>
      </c>
      <c r="D108" s="40">
        <v>7.65</v>
      </c>
      <c r="E108" s="40">
        <v>7.8</v>
      </c>
      <c r="F108" s="40">
        <v>6.7359999999999998</v>
      </c>
      <c r="G108" s="40">
        <v>6.8579999999999997</v>
      </c>
      <c r="H108" s="40">
        <v>6.9269999999999996</v>
      </c>
      <c r="I108" s="40">
        <v>6.9950000000000001</v>
      </c>
    </row>
    <row r="109" spans="1:9" ht="40.5" customHeight="1">
      <c r="A109" s="36" t="s">
        <v>227</v>
      </c>
      <c r="B109" s="14" t="s">
        <v>11</v>
      </c>
      <c r="C109" s="37"/>
      <c r="D109" s="37"/>
      <c r="E109" s="37"/>
      <c r="F109" s="37"/>
      <c r="G109" s="37"/>
      <c r="H109" s="37"/>
      <c r="I109" s="37"/>
    </row>
    <row r="110" spans="1:9" ht="19.5" customHeight="1">
      <c r="A110" s="36" t="s">
        <v>229</v>
      </c>
      <c r="B110" s="14" t="s">
        <v>230</v>
      </c>
      <c r="C110" s="41"/>
      <c r="D110" s="41"/>
      <c r="E110" s="41"/>
      <c r="F110" s="41"/>
      <c r="G110" s="41"/>
      <c r="H110" s="41"/>
      <c r="I110" s="41"/>
    </row>
    <row r="111" spans="1:9">
      <c r="A111" s="36" t="s">
        <v>228</v>
      </c>
      <c r="B111" s="14" t="s">
        <v>12</v>
      </c>
      <c r="C111" s="41"/>
      <c r="D111" s="41"/>
      <c r="E111" s="41"/>
      <c r="F111" s="41"/>
      <c r="G111" s="41"/>
      <c r="H111" s="41"/>
      <c r="I111" s="41"/>
    </row>
    <row r="112" spans="1:9" s="42" customFormat="1" ht="21" customHeight="1">
      <c r="A112" s="129" t="s">
        <v>58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s="29" customFormat="1" ht="19.899999999999999" customHeight="1">
      <c r="A113" s="119" t="s">
        <v>91</v>
      </c>
      <c r="B113" s="11"/>
      <c r="C113" s="43"/>
      <c r="D113" s="43"/>
      <c r="E113" s="43"/>
      <c r="F113" s="43"/>
      <c r="G113" s="43"/>
      <c r="H113" s="43"/>
      <c r="I113" s="43"/>
    </row>
    <row r="114" spans="1:9" ht="32.25" customHeight="1">
      <c r="A114" s="95" t="s">
        <v>129</v>
      </c>
      <c r="B114" s="12"/>
      <c r="C114" s="43"/>
      <c r="D114" s="43"/>
      <c r="E114" s="43"/>
      <c r="F114" s="43"/>
      <c r="G114" s="43"/>
      <c r="H114" s="43"/>
      <c r="I114" s="43"/>
    </row>
    <row r="115" spans="1:9" ht="26.25" customHeight="1">
      <c r="A115" s="120" t="s">
        <v>80</v>
      </c>
      <c r="B115" s="11" t="s">
        <v>7</v>
      </c>
      <c r="C115" s="43">
        <f>C118+C121</f>
        <v>40.9</v>
      </c>
      <c r="D115" s="43">
        <f t="shared" ref="D115:I115" si="14">D118+D121</f>
        <v>44.79</v>
      </c>
      <c r="E115" s="43">
        <f t="shared" si="14"/>
        <v>49.26</v>
      </c>
      <c r="F115" s="43">
        <f t="shared" si="14"/>
        <v>56.645000000000003</v>
      </c>
      <c r="G115" s="43">
        <f t="shared" si="14"/>
        <v>62.52</v>
      </c>
      <c r="H115" s="72">
        <f t="shared" si="14"/>
        <v>64.84</v>
      </c>
      <c r="I115" s="72">
        <f t="shared" si="14"/>
        <v>68.722999999999999</v>
      </c>
    </row>
    <row r="116" spans="1:9" ht="26.25" customHeight="1">
      <c r="A116" s="120" t="s">
        <v>81</v>
      </c>
      <c r="B116" s="11" t="s">
        <v>5</v>
      </c>
      <c r="C116" s="50">
        <v>97.7</v>
      </c>
      <c r="D116" s="50">
        <v>100.8</v>
      </c>
      <c r="E116" s="50">
        <f>E115/1.042/D115*100</f>
        <v>105.54693496071879</v>
      </c>
      <c r="F116" s="50">
        <f>F115/1.068/E115*100</f>
        <v>107.67029945819857</v>
      </c>
      <c r="G116" s="50">
        <f>G115/1.048/F115*100</f>
        <v>105.31642430862091</v>
      </c>
      <c r="H116" s="54">
        <f>H115/1.038/G115*100</f>
        <v>99.914077591509837</v>
      </c>
      <c r="I116" s="54">
        <f>I115/1.052/H115*100</f>
        <v>100.74960769182051</v>
      </c>
    </row>
    <row r="117" spans="1:9">
      <c r="A117" s="96" t="s">
        <v>130</v>
      </c>
      <c r="B117" s="11"/>
      <c r="C117" s="43"/>
      <c r="D117" s="43"/>
      <c r="E117" s="43"/>
      <c r="F117" s="43"/>
      <c r="G117" s="43"/>
      <c r="H117" s="72"/>
      <c r="I117" s="72"/>
    </row>
    <row r="118" spans="1:9" ht="27" customHeight="1">
      <c r="A118" s="97" t="s">
        <v>80</v>
      </c>
      <c r="B118" s="11" t="s">
        <v>7</v>
      </c>
      <c r="C118" s="43">
        <v>15.36</v>
      </c>
      <c r="D118" s="43">
        <v>18.45</v>
      </c>
      <c r="E118" s="43">
        <v>20.29</v>
      </c>
      <c r="F118" s="43">
        <v>22.994</v>
      </c>
      <c r="G118" s="43">
        <v>25.164000000000001</v>
      </c>
      <c r="H118" s="72">
        <v>26.489000000000001</v>
      </c>
      <c r="I118" s="72">
        <v>28.114999999999998</v>
      </c>
    </row>
    <row r="119" spans="1:9" ht="25.5">
      <c r="A119" s="97" t="s">
        <v>81</v>
      </c>
      <c r="B119" s="11" t="s">
        <v>5</v>
      </c>
      <c r="C119" s="50">
        <v>108.3</v>
      </c>
      <c r="D119" s="50">
        <v>109.4</v>
      </c>
      <c r="E119" s="50">
        <f>E118/1.05/D118*100</f>
        <v>104.7360949799974</v>
      </c>
      <c r="F119" s="50">
        <f>F118/1.054/E118*100</f>
        <v>107.52064701299844</v>
      </c>
      <c r="G119" s="50">
        <f>G118/1.04/F118*100</f>
        <v>105.22811971015851</v>
      </c>
      <c r="H119" s="54">
        <f>H118/1.043/G118*100</f>
        <v>100.92565540904972</v>
      </c>
      <c r="I119" s="54">
        <f>I118/1.057/H118*100</f>
        <v>100.41475597964246</v>
      </c>
    </row>
    <row r="120" spans="1:9">
      <c r="A120" s="96" t="s">
        <v>131</v>
      </c>
      <c r="B120" s="11"/>
      <c r="C120" s="43"/>
      <c r="D120" s="43"/>
      <c r="E120" s="43"/>
      <c r="F120" s="43"/>
      <c r="G120" s="43"/>
      <c r="H120" s="72"/>
      <c r="I120" s="72"/>
    </row>
    <row r="121" spans="1:9" ht="27" customHeight="1">
      <c r="A121" s="96" t="s">
        <v>80</v>
      </c>
      <c r="B121" s="11" t="s">
        <v>7</v>
      </c>
      <c r="C121" s="43">
        <v>25.54</v>
      </c>
      <c r="D121" s="43">
        <v>26.34</v>
      </c>
      <c r="E121" s="43">
        <v>28.97</v>
      </c>
      <c r="F121" s="43">
        <v>33.651000000000003</v>
      </c>
      <c r="G121" s="43">
        <v>37.356000000000002</v>
      </c>
      <c r="H121" s="72">
        <v>38.350999999999999</v>
      </c>
      <c r="I121" s="72">
        <v>40.607999999999997</v>
      </c>
    </row>
    <row r="122" spans="1:9" ht="26.25" customHeight="1">
      <c r="A122" s="96" t="s">
        <v>81</v>
      </c>
      <c r="B122" s="11" t="s">
        <v>5</v>
      </c>
      <c r="C122" s="50">
        <v>94.7</v>
      </c>
      <c r="D122" s="50">
        <v>96.7</v>
      </c>
      <c r="E122" s="50">
        <f>E121/1.03/D121*100</f>
        <v>106.78137278752091</v>
      </c>
      <c r="F122" s="50">
        <f>F121/1.084/E121*100</f>
        <v>107.15691381974229</v>
      </c>
      <c r="G122" s="50">
        <f>G121/1.056/F121*100</f>
        <v>105.1231761314671</v>
      </c>
      <c r="H122" s="54">
        <f>H121/1.033/G121*100</f>
        <v>99.38389294205659</v>
      </c>
      <c r="I122" s="54">
        <f>I121/1.048/H121*100</f>
        <v>101.03541394762441</v>
      </c>
    </row>
    <row r="123" spans="1:9" ht="31.5" customHeight="1">
      <c r="A123" s="118" t="s">
        <v>16</v>
      </c>
      <c r="B123" s="11"/>
      <c r="C123" s="43"/>
      <c r="D123" s="43"/>
      <c r="E123" s="43"/>
      <c r="F123" s="43"/>
      <c r="G123" s="43"/>
      <c r="H123" s="72"/>
      <c r="I123" s="72"/>
    </row>
    <row r="124" spans="1:9" ht="30" customHeight="1">
      <c r="A124" s="120" t="s">
        <v>92</v>
      </c>
      <c r="B124" s="11"/>
      <c r="C124" s="43"/>
      <c r="D124" s="43"/>
      <c r="E124" s="43"/>
      <c r="F124" s="43"/>
      <c r="G124" s="43"/>
      <c r="H124" s="72"/>
      <c r="I124" s="72"/>
    </row>
    <row r="125" spans="1:9" ht="26.25" customHeight="1">
      <c r="A125" s="120" t="s">
        <v>2</v>
      </c>
      <c r="B125" s="11" t="s">
        <v>7</v>
      </c>
      <c r="C125" s="43">
        <v>11.32</v>
      </c>
      <c r="D125" s="43">
        <v>11.52</v>
      </c>
      <c r="E125" s="43">
        <v>12.66</v>
      </c>
      <c r="F125" s="43">
        <v>14.557765</v>
      </c>
      <c r="G125" s="43">
        <v>16.067640000000001</v>
      </c>
      <c r="H125" s="72">
        <v>16.663880000000002</v>
      </c>
      <c r="I125" s="72">
        <v>17.661811</v>
      </c>
    </row>
    <row r="126" spans="1:9" ht="27" customHeight="1">
      <c r="A126" s="120" t="s">
        <v>14</v>
      </c>
      <c r="B126" s="11" t="s">
        <v>5</v>
      </c>
      <c r="C126" s="50">
        <v>107.1</v>
      </c>
      <c r="D126" s="50">
        <v>93.7</v>
      </c>
      <c r="E126" s="50">
        <f>E125/1.04/D125*100</f>
        <v>105.66907051282053</v>
      </c>
      <c r="F126" s="50">
        <f>F125/1.068/E125*100</f>
        <v>107.6687686008603</v>
      </c>
      <c r="G126" s="50">
        <f>G125/1.048/F125*100</f>
        <v>105.31642430862091</v>
      </c>
      <c r="H126" s="54">
        <f>H125/1.038/G125*100</f>
        <v>99.914077591509837</v>
      </c>
      <c r="I126" s="54">
        <f>I125/1.052/H125*100</f>
        <v>100.74960769182051</v>
      </c>
    </row>
    <row r="127" spans="1:9" ht="30.75" customHeight="1">
      <c r="A127" s="120" t="s">
        <v>93</v>
      </c>
      <c r="B127" s="11"/>
      <c r="C127" s="43"/>
      <c r="D127" s="43"/>
      <c r="E127" s="43"/>
      <c r="F127" s="43"/>
      <c r="G127" s="43"/>
      <c r="H127" s="72"/>
      <c r="I127" s="72"/>
    </row>
    <row r="128" spans="1:9" ht="26.25" customHeight="1">
      <c r="A128" s="120" t="s">
        <v>2</v>
      </c>
      <c r="B128" s="11" t="s">
        <v>7</v>
      </c>
      <c r="C128" s="43">
        <v>7.35</v>
      </c>
      <c r="D128" s="43">
        <v>7.4</v>
      </c>
      <c r="E128" s="43">
        <v>8.14</v>
      </c>
      <c r="F128" s="43">
        <v>9.3577539999999999</v>
      </c>
      <c r="G128" s="43">
        <v>10.328304000000001</v>
      </c>
      <c r="H128" s="72">
        <v>10.711568</v>
      </c>
      <c r="I128" s="72">
        <v>11.353039599999999</v>
      </c>
    </row>
    <row r="129" spans="1:9" ht="27" customHeight="1">
      <c r="A129" s="120" t="s">
        <v>14</v>
      </c>
      <c r="B129" s="11" t="s">
        <v>5</v>
      </c>
      <c r="C129" s="50">
        <v>84.4</v>
      </c>
      <c r="D129" s="50">
        <v>92.7</v>
      </c>
      <c r="E129" s="50">
        <f>E128/1.04/D128*100</f>
        <v>105.76923076923077</v>
      </c>
      <c r="F129" s="50">
        <f>F128/1.068/E128*100</f>
        <v>107.64056446640716</v>
      </c>
      <c r="G129" s="50">
        <f>G128/1.048/F128*100</f>
        <v>105.31642430862094</v>
      </c>
      <c r="H129" s="54">
        <f>H128/1.038/G128*100</f>
        <v>99.914077591509823</v>
      </c>
      <c r="I129" s="54">
        <f>I128/1.052/H128*100</f>
        <v>100.74960769182051</v>
      </c>
    </row>
    <row r="130" spans="1:9" ht="16.5" customHeight="1">
      <c r="A130" s="120" t="s">
        <v>94</v>
      </c>
      <c r="B130" s="11"/>
      <c r="C130" s="43"/>
      <c r="D130" s="43"/>
      <c r="E130" s="43"/>
      <c r="F130" s="43"/>
      <c r="G130" s="43"/>
      <c r="H130" s="72"/>
      <c r="I130" s="72"/>
    </row>
    <row r="131" spans="1:9" ht="26.25" customHeight="1">
      <c r="A131" s="120" t="s">
        <v>2</v>
      </c>
      <c r="B131" s="11" t="s">
        <v>7</v>
      </c>
      <c r="C131" s="43">
        <v>22.23</v>
      </c>
      <c r="D131" s="43">
        <v>25.87</v>
      </c>
      <c r="E131" s="43">
        <v>28.46</v>
      </c>
      <c r="F131" s="43">
        <v>32.729481</v>
      </c>
      <c r="G131" s="43">
        <v>36.124056000000003</v>
      </c>
      <c r="H131" s="72">
        <v>37.464552000000005</v>
      </c>
      <c r="I131" s="72">
        <v>39.708149400000003</v>
      </c>
    </row>
    <row r="132" spans="1:9" ht="26.25" customHeight="1">
      <c r="A132" s="120" t="s">
        <v>14</v>
      </c>
      <c r="B132" s="11" t="s">
        <v>5</v>
      </c>
      <c r="C132" s="50">
        <v>98.4</v>
      </c>
      <c r="D132" s="50">
        <v>107.2</v>
      </c>
      <c r="E132" s="50">
        <f>E131/1.04/D131*100</f>
        <v>105.78038119592044</v>
      </c>
      <c r="F132" s="50">
        <f>F131/1.068/E131*100</f>
        <v>107.67948510426618</v>
      </c>
      <c r="G132" s="50">
        <f>G131/1.048/F131*100</f>
        <v>105.31642430862091</v>
      </c>
      <c r="H132" s="54">
        <f>H131/1.038/G131*100</f>
        <v>99.914077591509837</v>
      </c>
      <c r="I132" s="54">
        <f>I131/1.052/H131*100</f>
        <v>100.74960769182053</v>
      </c>
    </row>
    <row r="133" spans="1:9" ht="29.25" customHeight="1">
      <c r="A133" s="118" t="s">
        <v>95</v>
      </c>
      <c r="B133" s="12"/>
      <c r="C133" s="43"/>
      <c r="D133" s="43"/>
      <c r="E133" s="43"/>
      <c r="F133" s="43"/>
      <c r="G133" s="43"/>
      <c r="H133" s="72"/>
      <c r="I133" s="72"/>
    </row>
    <row r="134" spans="1:9" ht="28.5">
      <c r="A134" s="121" t="s">
        <v>17</v>
      </c>
      <c r="B134" s="11" t="s">
        <v>8</v>
      </c>
      <c r="C134" s="43">
        <f>C137+C139</f>
        <v>0.115</v>
      </c>
      <c r="D134" s="43">
        <f>D137+D139</f>
        <v>0.06</v>
      </c>
      <c r="E134" s="43">
        <f t="shared" ref="E134:F134" si="15">E137+E139</f>
        <v>0.08</v>
      </c>
      <c r="F134" s="43">
        <f t="shared" si="15"/>
        <v>0.08</v>
      </c>
      <c r="G134" s="43">
        <f>F134*104/100</f>
        <v>8.3199999999999996E-2</v>
      </c>
      <c r="H134" s="72">
        <f>F134*104.3/100</f>
        <v>8.344E-2</v>
      </c>
      <c r="I134" s="72">
        <f>F134*105.7/100</f>
        <v>8.4559999999999996E-2</v>
      </c>
    </row>
    <row r="135" spans="1:9" ht="26.25" customHeight="1">
      <c r="A135" s="120"/>
      <c r="B135" s="11" t="s">
        <v>5</v>
      </c>
      <c r="C135" s="50">
        <v>244.7</v>
      </c>
      <c r="D135" s="50">
        <v>52.2</v>
      </c>
      <c r="E135" s="50">
        <v>133.33000000000001</v>
      </c>
      <c r="F135" s="50">
        <v>100</v>
      </c>
      <c r="G135" s="50">
        <f>G134/F134*100</f>
        <v>104</v>
      </c>
      <c r="H135" s="54">
        <f>H134/F134*100</f>
        <v>104.3</v>
      </c>
      <c r="I135" s="54">
        <f>I134/F134*100</f>
        <v>105.69999999999999</v>
      </c>
    </row>
    <row r="136" spans="1:9">
      <c r="A136" s="120" t="s">
        <v>13</v>
      </c>
      <c r="B136" s="11"/>
      <c r="C136" s="43"/>
      <c r="D136" s="43"/>
      <c r="E136" s="43"/>
      <c r="F136" s="43"/>
      <c r="G136" s="43"/>
      <c r="H136" s="72"/>
      <c r="I136" s="72"/>
    </row>
    <row r="137" spans="1:9">
      <c r="A137" s="120" t="s">
        <v>18</v>
      </c>
      <c r="B137" s="11" t="s">
        <v>8</v>
      </c>
      <c r="C137" s="43">
        <v>0.115</v>
      </c>
      <c r="D137" s="43">
        <v>4.3999999999999997E-2</v>
      </c>
      <c r="E137" s="43">
        <v>0.08</v>
      </c>
      <c r="F137" s="43">
        <v>0.08</v>
      </c>
      <c r="G137" s="43">
        <f>F137*104/100</f>
        <v>8.3199999999999996E-2</v>
      </c>
      <c r="H137" s="72">
        <f>F137*104.3/100</f>
        <v>8.344E-2</v>
      </c>
      <c r="I137" s="72">
        <f>F137*105.7/100</f>
        <v>8.4559999999999996E-2</v>
      </c>
    </row>
    <row r="138" spans="1:9" ht="26.25" customHeight="1">
      <c r="A138" s="120"/>
      <c r="B138" s="11" t="s">
        <v>5</v>
      </c>
      <c r="C138" s="50">
        <v>244.7</v>
      </c>
      <c r="D138" s="50">
        <v>38.299999999999997</v>
      </c>
      <c r="E138" s="50">
        <v>181.82</v>
      </c>
      <c r="F138" s="50">
        <v>100</v>
      </c>
      <c r="G138" s="50">
        <f>G137/F137*100</f>
        <v>104</v>
      </c>
      <c r="H138" s="54">
        <f>H137/F137*100</f>
        <v>104.3</v>
      </c>
      <c r="I138" s="54">
        <f>I137/F137*100</f>
        <v>105.69999999999999</v>
      </c>
    </row>
    <row r="139" spans="1:9">
      <c r="A139" s="120" t="s">
        <v>19</v>
      </c>
      <c r="B139" s="11" t="s">
        <v>8</v>
      </c>
      <c r="C139" s="43"/>
      <c r="D139" s="43">
        <v>1.6E-2</v>
      </c>
      <c r="E139" s="43"/>
      <c r="F139" s="43"/>
      <c r="G139" s="43"/>
      <c r="H139" s="72"/>
      <c r="I139" s="72"/>
    </row>
    <row r="140" spans="1:9" ht="27.75" customHeight="1">
      <c r="A140" s="121"/>
      <c r="B140" s="11" t="s">
        <v>5</v>
      </c>
      <c r="C140" s="43"/>
      <c r="D140" s="50">
        <v>100</v>
      </c>
      <c r="E140" s="43"/>
      <c r="F140" s="43"/>
      <c r="G140" s="43"/>
      <c r="H140" s="72"/>
      <c r="I140" s="72"/>
    </row>
    <row r="141" spans="1:9">
      <c r="A141" s="121" t="s">
        <v>20</v>
      </c>
      <c r="B141" s="11" t="s">
        <v>8</v>
      </c>
      <c r="C141" s="43">
        <f>C144+C146+C148</f>
        <v>13.936999999999999</v>
      </c>
      <c r="D141" s="43">
        <f t="shared" ref="D141:E141" si="16">D144+D146+D148</f>
        <v>10.683999999999999</v>
      </c>
      <c r="E141" s="43">
        <f t="shared" si="16"/>
        <v>12.373000000000001</v>
      </c>
      <c r="F141" s="43">
        <f>F144+F146+F148</f>
        <v>13.042</v>
      </c>
      <c r="G141" s="43">
        <f t="shared" ref="G141:I141" si="17">G144+G146+G148</f>
        <v>13.56368</v>
      </c>
      <c r="H141" s="72">
        <f t="shared" si="17"/>
        <v>13.602806000000001</v>
      </c>
      <c r="I141" s="72">
        <f t="shared" si="17"/>
        <v>13.785394000000002</v>
      </c>
    </row>
    <row r="142" spans="1:9" ht="27" customHeight="1">
      <c r="A142" s="120"/>
      <c r="B142" s="11" t="s">
        <v>5</v>
      </c>
      <c r="C142" s="50">
        <v>115.3</v>
      </c>
      <c r="D142" s="50">
        <v>76.7</v>
      </c>
      <c r="E142" s="50">
        <v>115.81</v>
      </c>
      <c r="F142" s="50">
        <v>105.4</v>
      </c>
      <c r="G142" s="50">
        <f>G141/F141*100</f>
        <v>104</v>
      </c>
      <c r="H142" s="54">
        <f>H141/F141*100</f>
        <v>104.30000000000001</v>
      </c>
      <c r="I142" s="54">
        <f>I141/F141*100</f>
        <v>105.70000000000002</v>
      </c>
    </row>
    <row r="143" spans="1:9">
      <c r="A143" s="120" t="s">
        <v>13</v>
      </c>
      <c r="B143" s="11"/>
      <c r="C143" s="43"/>
      <c r="D143" s="43"/>
      <c r="E143" s="43"/>
      <c r="F143" s="43"/>
      <c r="G143" s="43"/>
      <c r="H143" s="72"/>
      <c r="I143" s="72"/>
    </row>
    <row r="144" spans="1:9">
      <c r="A144" s="120" t="s">
        <v>18</v>
      </c>
      <c r="B144" s="11" t="s">
        <v>8</v>
      </c>
      <c r="C144" s="43">
        <v>1.5309999999999999</v>
      </c>
      <c r="D144" s="43">
        <v>0.85399999999999998</v>
      </c>
      <c r="E144" s="43">
        <v>0.09</v>
      </c>
      <c r="F144" s="43">
        <v>9.5000000000000001E-2</v>
      </c>
      <c r="G144" s="43">
        <f>F144*104/100</f>
        <v>9.8800000000000013E-2</v>
      </c>
      <c r="H144" s="72">
        <f>F144*104.3/100</f>
        <v>9.9085000000000006E-2</v>
      </c>
      <c r="I144" s="72">
        <f>F144*105.7/100</f>
        <v>0.100415</v>
      </c>
    </row>
    <row r="145" spans="1:14" ht="27" customHeight="1">
      <c r="A145" s="120"/>
      <c r="B145" s="11" t="s">
        <v>5</v>
      </c>
      <c r="C145" s="50">
        <v>190.7</v>
      </c>
      <c r="D145" s="50">
        <v>55.8</v>
      </c>
      <c r="E145" s="50">
        <v>10.54</v>
      </c>
      <c r="F145" s="50">
        <v>105.5</v>
      </c>
      <c r="G145" s="50">
        <f>G144/F144*100</f>
        <v>104</v>
      </c>
      <c r="H145" s="54">
        <f>H144/F144*100</f>
        <v>104.30000000000001</v>
      </c>
      <c r="I145" s="54">
        <f>I144/F144*100</f>
        <v>105.69999999999999</v>
      </c>
    </row>
    <row r="146" spans="1:14">
      <c r="A146" s="120" t="s">
        <v>19</v>
      </c>
      <c r="B146" s="11" t="s">
        <v>8</v>
      </c>
      <c r="C146" s="43">
        <v>0.72199999999999998</v>
      </c>
      <c r="D146" s="43">
        <v>0.50600000000000001</v>
      </c>
      <c r="E146" s="43">
        <v>1.1200000000000001</v>
      </c>
      <c r="F146" s="43">
        <v>1.181</v>
      </c>
      <c r="G146" s="43">
        <f>F146*104/100</f>
        <v>1.2282400000000002</v>
      </c>
      <c r="H146" s="72">
        <f>F146*104.3/100</f>
        <v>1.2317830000000001</v>
      </c>
      <c r="I146" s="72">
        <f>F146*105.7/100</f>
        <v>1.2483170000000001</v>
      </c>
    </row>
    <row r="147" spans="1:14" ht="25.5">
      <c r="A147" s="120"/>
      <c r="B147" s="11" t="s">
        <v>5</v>
      </c>
      <c r="C147" s="50">
        <v>124.7</v>
      </c>
      <c r="D147" s="50">
        <v>70.099999999999994</v>
      </c>
      <c r="E147" s="50">
        <v>221.34</v>
      </c>
      <c r="F147" s="50">
        <v>105.4</v>
      </c>
      <c r="G147" s="50">
        <f>G146/F146*100</f>
        <v>104</v>
      </c>
      <c r="H147" s="54">
        <f>H146/F146*100</f>
        <v>104.3</v>
      </c>
      <c r="I147" s="54">
        <f>I146/F146*100</f>
        <v>105.70000000000002</v>
      </c>
    </row>
    <row r="148" spans="1:14">
      <c r="A148" s="120" t="s">
        <v>21</v>
      </c>
      <c r="B148" s="11" t="s">
        <v>8</v>
      </c>
      <c r="C148" s="43">
        <v>11.683999999999999</v>
      </c>
      <c r="D148" s="43">
        <v>9.3239999999999998</v>
      </c>
      <c r="E148" s="43">
        <v>11.163</v>
      </c>
      <c r="F148" s="43">
        <v>11.766</v>
      </c>
      <c r="G148" s="43">
        <f>F148*104/100</f>
        <v>12.23664</v>
      </c>
      <c r="H148" s="72">
        <f>F148*104.3/100</f>
        <v>12.271938</v>
      </c>
      <c r="I148" s="72">
        <f>F148*105.7/100</f>
        <v>12.436662000000002</v>
      </c>
    </row>
    <row r="149" spans="1:14" ht="27" customHeight="1">
      <c r="A149" s="120"/>
      <c r="B149" s="11" t="s">
        <v>5</v>
      </c>
      <c r="C149" s="50">
        <v>109.1</v>
      </c>
      <c r="D149" s="50">
        <v>79.8</v>
      </c>
      <c r="E149" s="50">
        <v>119.72</v>
      </c>
      <c r="F149" s="50">
        <v>105.4</v>
      </c>
      <c r="G149" s="50">
        <f>G148/F148*100</f>
        <v>104</v>
      </c>
      <c r="H149" s="54">
        <f>H148/F148*100</f>
        <v>104.3</v>
      </c>
      <c r="I149" s="54">
        <f>I148/F148*100</f>
        <v>105.70000000000002</v>
      </c>
    </row>
    <row r="150" spans="1:14">
      <c r="A150" s="121" t="s">
        <v>22</v>
      </c>
      <c r="B150" s="11" t="s">
        <v>8</v>
      </c>
      <c r="C150" s="43">
        <f>C153+C155+C157</f>
        <v>3.7030000000000003</v>
      </c>
      <c r="D150" s="43">
        <f t="shared" ref="D150:I150" si="18">D153+D155+D157</f>
        <v>4.032</v>
      </c>
      <c r="E150" s="43">
        <f t="shared" si="18"/>
        <v>3.8313000000000001</v>
      </c>
      <c r="F150" s="43">
        <f t="shared" si="18"/>
        <v>4.0384000000000002</v>
      </c>
      <c r="G150" s="43">
        <f t="shared" si="18"/>
        <v>4.1999360000000001</v>
      </c>
      <c r="H150" s="72">
        <f t="shared" si="18"/>
        <v>4.2120511999999994</v>
      </c>
      <c r="I150" s="72">
        <f t="shared" si="18"/>
        <v>4.2685887999999998</v>
      </c>
    </row>
    <row r="151" spans="1:14" ht="25.5">
      <c r="A151" s="120"/>
      <c r="B151" s="11" t="s">
        <v>5</v>
      </c>
      <c r="C151" s="50">
        <v>103.8</v>
      </c>
      <c r="D151" s="50">
        <v>108.9</v>
      </c>
      <c r="E151" s="50">
        <v>95.03</v>
      </c>
      <c r="F151" s="50">
        <v>105.4</v>
      </c>
      <c r="G151" s="50">
        <f>G150/F150*100</f>
        <v>104</v>
      </c>
      <c r="H151" s="54">
        <f>H150/F150*100</f>
        <v>104.29999999999997</v>
      </c>
      <c r="I151" s="54">
        <f>I150/F150*100</f>
        <v>105.69999999999999</v>
      </c>
    </row>
    <row r="152" spans="1:14">
      <c r="A152" s="120" t="s">
        <v>13</v>
      </c>
      <c r="B152" s="11"/>
      <c r="C152" s="43"/>
      <c r="D152" s="43"/>
      <c r="E152" s="43"/>
      <c r="F152" s="43"/>
      <c r="G152" s="43"/>
      <c r="H152" s="72"/>
      <c r="I152" s="72"/>
    </row>
    <row r="153" spans="1:14">
      <c r="A153" s="120" t="s">
        <v>18</v>
      </c>
      <c r="B153" s="11" t="s">
        <v>8</v>
      </c>
      <c r="C153" s="43"/>
      <c r="D153" s="43"/>
      <c r="E153" s="43">
        <v>1.2999999999999999E-3</v>
      </c>
      <c r="F153" s="43">
        <v>1.4E-3</v>
      </c>
      <c r="G153" s="43">
        <f>F153*104/100</f>
        <v>1.456E-3</v>
      </c>
      <c r="H153" s="72">
        <f>F153*104.3/100</f>
        <v>1.4601999999999998E-3</v>
      </c>
      <c r="I153" s="72">
        <f>F153*105.7/100</f>
        <v>1.4798000000000001E-3</v>
      </c>
    </row>
    <row r="154" spans="1:14" ht="27" customHeight="1">
      <c r="A154" s="120"/>
      <c r="B154" s="11" t="s">
        <v>5</v>
      </c>
      <c r="C154" s="43"/>
      <c r="D154" s="43"/>
      <c r="E154" s="50">
        <v>100</v>
      </c>
      <c r="F154" s="50">
        <v>107.7</v>
      </c>
      <c r="G154" s="50">
        <f>G153/F153*100</f>
        <v>104</v>
      </c>
      <c r="H154" s="54">
        <f>H153/F153*100</f>
        <v>104.3</v>
      </c>
      <c r="I154" s="54">
        <f>I153/F153*100</f>
        <v>105.70000000000002</v>
      </c>
    </row>
    <row r="155" spans="1:14">
      <c r="A155" s="120" t="s">
        <v>19</v>
      </c>
      <c r="B155" s="11" t="s">
        <v>8</v>
      </c>
      <c r="C155" s="43">
        <v>0.16</v>
      </c>
      <c r="D155" s="43">
        <v>0.22500000000000001</v>
      </c>
      <c r="E155" s="43">
        <v>0.161</v>
      </c>
      <c r="F155" s="43">
        <v>0.17</v>
      </c>
      <c r="G155" s="43">
        <f>F155*104/100</f>
        <v>0.17679999999999998</v>
      </c>
      <c r="H155" s="72">
        <f>F155*104.3/100</f>
        <v>0.17731000000000002</v>
      </c>
      <c r="I155" s="72">
        <f>F155*105.7/100</f>
        <v>0.17969000000000002</v>
      </c>
    </row>
    <row r="156" spans="1:14" ht="27" customHeight="1">
      <c r="A156" s="120"/>
      <c r="B156" s="11" t="s">
        <v>5</v>
      </c>
      <c r="C156" s="50">
        <v>127</v>
      </c>
      <c r="D156" s="50">
        <v>140.6</v>
      </c>
      <c r="E156" s="50">
        <v>71.55</v>
      </c>
      <c r="F156" s="50">
        <v>105.6</v>
      </c>
      <c r="G156" s="50">
        <f>G155/F155*100</f>
        <v>103.99999999999999</v>
      </c>
      <c r="H156" s="54">
        <f>H155/F155*100</f>
        <v>104.30000000000001</v>
      </c>
      <c r="I156" s="54">
        <f>I155/F155*100</f>
        <v>105.69999999999999</v>
      </c>
    </row>
    <row r="157" spans="1:14">
      <c r="A157" s="120" t="s">
        <v>21</v>
      </c>
      <c r="B157" s="11" t="s">
        <v>8</v>
      </c>
      <c r="C157" s="43">
        <v>3.5430000000000001</v>
      </c>
      <c r="D157" s="43">
        <v>3.8069999999999999</v>
      </c>
      <c r="E157" s="43">
        <v>3.669</v>
      </c>
      <c r="F157" s="43">
        <v>3.867</v>
      </c>
      <c r="G157" s="43">
        <f>F157*104/100</f>
        <v>4.0216799999999999</v>
      </c>
      <c r="H157" s="72">
        <f>F157*104.3/100</f>
        <v>4.0332809999999997</v>
      </c>
      <c r="I157" s="72">
        <f>F157*105.7/100</f>
        <v>4.0874189999999997</v>
      </c>
    </row>
    <row r="158" spans="1:14" ht="25.5">
      <c r="A158" s="120"/>
      <c r="B158" s="11" t="s">
        <v>5</v>
      </c>
      <c r="C158" s="50">
        <v>102.9</v>
      </c>
      <c r="D158" s="50">
        <v>107.5</v>
      </c>
      <c r="E158" s="50">
        <v>96.37</v>
      </c>
      <c r="F158" s="50">
        <v>105.4</v>
      </c>
      <c r="G158" s="50">
        <f>G157/F157*100</f>
        <v>104</v>
      </c>
      <c r="H158" s="54">
        <f>H157/F157*100</f>
        <v>104.3</v>
      </c>
      <c r="I158" s="54">
        <f>I157/F157*100</f>
        <v>105.69999999999999</v>
      </c>
    </row>
    <row r="159" spans="1:14">
      <c r="A159" s="121" t="s">
        <v>197</v>
      </c>
      <c r="B159" s="11" t="s">
        <v>8</v>
      </c>
      <c r="C159" s="43">
        <f>C162+C164+C166</f>
        <v>0.77600000000000002</v>
      </c>
      <c r="D159" s="43">
        <f t="shared" ref="D159:I159" si="19">D162+D164+D166</f>
        <v>0.73599999999999999</v>
      </c>
      <c r="E159" s="43">
        <f t="shared" si="19"/>
        <v>0.751</v>
      </c>
      <c r="F159" s="43">
        <f t="shared" si="19"/>
        <v>0.81400000000000006</v>
      </c>
      <c r="G159" s="43">
        <f t="shared" si="19"/>
        <v>0.85958400000000001</v>
      </c>
      <c r="H159" s="72">
        <f t="shared" si="19"/>
        <v>0.84086200000000011</v>
      </c>
      <c r="I159" s="72">
        <f t="shared" si="19"/>
        <v>0.85307200000000016</v>
      </c>
      <c r="J159" s="44"/>
      <c r="K159" s="44"/>
      <c r="L159" s="44"/>
      <c r="M159" s="44"/>
      <c r="N159" s="44"/>
    </row>
    <row r="160" spans="1:14" ht="26.25" customHeight="1">
      <c r="A160" s="120"/>
      <c r="B160" s="11" t="s">
        <v>5</v>
      </c>
      <c r="C160" s="50">
        <v>89.7</v>
      </c>
      <c r="D160" s="50">
        <v>94.8</v>
      </c>
      <c r="E160" s="50">
        <v>102.04</v>
      </c>
      <c r="F160" s="50">
        <v>108.4</v>
      </c>
      <c r="G160" s="50">
        <f>G159/F159*100</f>
        <v>105.60000000000001</v>
      </c>
      <c r="H160" s="54">
        <f>H159/F159*100</f>
        <v>103.30000000000001</v>
      </c>
      <c r="I160" s="54">
        <f>I159/F159*100</f>
        <v>104.80000000000001</v>
      </c>
    </row>
    <row r="161" spans="1:9" ht="15" customHeight="1">
      <c r="A161" s="120" t="s">
        <v>13</v>
      </c>
      <c r="B161" s="11"/>
      <c r="C161" s="43"/>
      <c r="D161" s="43"/>
      <c r="E161" s="43"/>
      <c r="F161" s="43"/>
      <c r="G161" s="43"/>
      <c r="H161" s="72"/>
      <c r="I161" s="72"/>
    </row>
    <row r="162" spans="1:9" ht="15" customHeight="1">
      <c r="A162" s="120" t="s">
        <v>18</v>
      </c>
      <c r="B162" s="11" t="s">
        <v>8</v>
      </c>
      <c r="C162" s="43">
        <v>2.3E-2</v>
      </c>
      <c r="D162" s="43">
        <v>1.0999999999999999E-2</v>
      </c>
      <c r="E162" s="43">
        <v>1.6E-2</v>
      </c>
      <c r="F162" s="43">
        <v>1.7000000000000001E-2</v>
      </c>
      <c r="G162" s="43">
        <f>F162*105.6/100</f>
        <v>1.7952000000000003E-2</v>
      </c>
      <c r="H162" s="72">
        <f>F162*103.3/100</f>
        <v>1.7561E-2</v>
      </c>
      <c r="I162" s="72">
        <f>F162*104.8/100</f>
        <v>1.7816000000000002E-2</v>
      </c>
    </row>
    <row r="163" spans="1:9" ht="27" customHeight="1">
      <c r="A163" s="120"/>
      <c r="B163" s="11" t="s">
        <v>5</v>
      </c>
      <c r="C163" s="50">
        <v>383.3</v>
      </c>
      <c r="D163" s="50">
        <v>47.8</v>
      </c>
      <c r="E163" s="50">
        <v>145.44999999999999</v>
      </c>
      <c r="F163" s="50">
        <v>106.3</v>
      </c>
      <c r="G163" s="50">
        <f>G162/F162*100</f>
        <v>105.60000000000001</v>
      </c>
      <c r="H163" s="54">
        <f>H162/F162*100</f>
        <v>103.3</v>
      </c>
      <c r="I163" s="54">
        <f>I162/F162*100</f>
        <v>104.80000000000001</v>
      </c>
    </row>
    <row r="164" spans="1:9" ht="15" customHeight="1">
      <c r="A164" s="120" t="s">
        <v>19</v>
      </c>
      <c r="B164" s="11" t="s">
        <v>8</v>
      </c>
      <c r="C164" s="43">
        <v>4.4999999999999998E-2</v>
      </c>
      <c r="D164" s="43">
        <v>2.1999999999999999E-2</v>
      </c>
      <c r="E164" s="43">
        <v>8.0000000000000002E-3</v>
      </c>
      <c r="F164" s="43">
        <v>8.9999999999999993E-3</v>
      </c>
      <c r="G164" s="43">
        <f>F164*105.6/100</f>
        <v>9.5039999999999986E-3</v>
      </c>
      <c r="H164" s="72">
        <f>F164*103.3/100</f>
        <v>9.296999999999998E-3</v>
      </c>
      <c r="I164" s="72">
        <f>F164*104.8/100</f>
        <v>9.4319999999999994E-3</v>
      </c>
    </row>
    <row r="165" spans="1:9" ht="25.5" customHeight="1">
      <c r="A165" s="120"/>
      <c r="B165" s="11" t="s">
        <v>5</v>
      </c>
      <c r="C165" s="50">
        <v>150</v>
      </c>
      <c r="D165" s="50">
        <v>48.9</v>
      </c>
      <c r="E165" s="50">
        <v>36.36</v>
      </c>
      <c r="F165" s="50">
        <v>112.5</v>
      </c>
      <c r="G165" s="50">
        <f>G164/F164*100</f>
        <v>105.59999999999998</v>
      </c>
      <c r="H165" s="54">
        <f>H164/F164*100</f>
        <v>103.3</v>
      </c>
      <c r="I165" s="54">
        <f>I164/F164*100</f>
        <v>104.80000000000001</v>
      </c>
    </row>
    <row r="166" spans="1:9" ht="15" customHeight="1">
      <c r="A166" s="120" t="s">
        <v>21</v>
      </c>
      <c r="B166" s="11" t="s">
        <v>8</v>
      </c>
      <c r="C166" s="43">
        <v>0.70799999999999996</v>
      </c>
      <c r="D166" s="43">
        <v>0.70299999999999996</v>
      </c>
      <c r="E166" s="43">
        <v>0.72699999999999998</v>
      </c>
      <c r="F166" s="43">
        <v>0.78800000000000003</v>
      </c>
      <c r="G166" s="43">
        <f>F166*105.6/100</f>
        <v>0.83212799999999998</v>
      </c>
      <c r="H166" s="72">
        <f>F166*103.3/100</f>
        <v>0.81400400000000006</v>
      </c>
      <c r="I166" s="72">
        <f>F166*104.8/100</f>
        <v>0.82582400000000011</v>
      </c>
    </row>
    <row r="167" spans="1:9" ht="27" customHeight="1">
      <c r="A167" s="120"/>
      <c r="B167" s="11" t="s">
        <v>5</v>
      </c>
      <c r="C167" s="50">
        <v>85.4</v>
      </c>
      <c r="D167" s="50">
        <v>99.3</v>
      </c>
      <c r="E167" s="50">
        <v>103.41</v>
      </c>
      <c r="F167" s="50">
        <v>108.4</v>
      </c>
      <c r="G167" s="50">
        <f>G166/F166*100</f>
        <v>105.59999999999998</v>
      </c>
      <c r="H167" s="54">
        <f>H166/F166*100</f>
        <v>103.30000000000001</v>
      </c>
      <c r="I167" s="54">
        <f>I166/F166*100</f>
        <v>104.80000000000001</v>
      </c>
    </row>
    <row r="168" spans="1:9">
      <c r="A168" s="121" t="s">
        <v>23</v>
      </c>
      <c r="B168" s="11" t="s">
        <v>8</v>
      </c>
      <c r="C168" s="43">
        <f>C171+C173+C175</f>
        <v>4.1989999999999998</v>
      </c>
      <c r="D168" s="43">
        <f t="shared" ref="D168:I168" si="20">D171+D173+D175</f>
        <v>4.3879999999999999</v>
      </c>
      <c r="E168" s="43">
        <f t="shared" si="20"/>
        <v>4.1069999999999993</v>
      </c>
      <c r="F168" s="43">
        <f t="shared" si="20"/>
        <v>4.4580000000000002</v>
      </c>
      <c r="G168" s="43">
        <f t="shared" si="20"/>
        <v>4.7076479999999998</v>
      </c>
      <c r="H168" s="72">
        <f t="shared" si="20"/>
        <v>4.6051140000000004</v>
      </c>
      <c r="I168" s="72">
        <f t="shared" si="20"/>
        <v>4.6719840000000001</v>
      </c>
    </row>
    <row r="169" spans="1:9" ht="26.25" customHeight="1">
      <c r="A169" s="120"/>
      <c r="B169" s="11" t="s">
        <v>5</v>
      </c>
      <c r="C169" s="50">
        <v>89.2</v>
      </c>
      <c r="D169" s="50">
        <v>104.5</v>
      </c>
      <c r="E169" s="50">
        <v>93.6</v>
      </c>
      <c r="F169" s="50">
        <v>108.5</v>
      </c>
      <c r="G169" s="50">
        <f>G168/F168*100</f>
        <v>105.59999999999998</v>
      </c>
      <c r="H169" s="54">
        <f>H168/F168*100</f>
        <v>103.30000000000001</v>
      </c>
      <c r="I169" s="54">
        <f>I168/F168*100</f>
        <v>104.80000000000001</v>
      </c>
    </row>
    <row r="170" spans="1:9" ht="15" customHeight="1">
      <c r="A170" s="120" t="s">
        <v>13</v>
      </c>
      <c r="B170" s="11"/>
      <c r="C170" s="43"/>
      <c r="D170" s="43"/>
      <c r="E170" s="43"/>
      <c r="F170" s="43"/>
      <c r="G170" s="43"/>
      <c r="H170" s="72"/>
      <c r="I170" s="72"/>
    </row>
    <row r="171" spans="1:9" ht="15" customHeight="1">
      <c r="A171" s="120" t="s">
        <v>18</v>
      </c>
      <c r="B171" s="11" t="s">
        <v>8</v>
      </c>
      <c r="C171" s="43">
        <v>0.14499999999999999</v>
      </c>
      <c r="D171" s="43">
        <v>0.104</v>
      </c>
      <c r="E171" s="43">
        <v>1.7000000000000001E-2</v>
      </c>
      <c r="F171" s="43">
        <v>1.7999999999999999E-2</v>
      </c>
      <c r="G171" s="43">
        <f>F171*105.6/100</f>
        <v>1.9007999999999997E-2</v>
      </c>
      <c r="H171" s="72">
        <f>F171*103.3/100</f>
        <v>1.8593999999999996E-2</v>
      </c>
      <c r="I171" s="72">
        <f>F171*104.8/100</f>
        <v>1.8863999999999999E-2</v>
      </c>
    </row>
    <row r="172" spans="1:9" ht="26.25" customHeight="1">
      <c r="A172" s="120"/>
      <c r="B172" s="11" t="s">
        <v>5</v>
      </c>
      <c r="C172" s="50">
        <v>127.2</v>
      </c>
      <c r="D172" s="50">
        <v>71.7</v>
      </c>
      <c r="E172" s="50">
        <v>16.350000000000001</v>
      </c>
      <c r="F172" s="50">
        <v>105.9</v>
      </c>
      <c r="G172" s="50">
        <f>G171/F171*100</f>
        <v>105.59999999999998</v>
      </c>
      <c r="H172" s="54">
        <f>H171/F171*100</f>
        <v>103.3</v>
      </c>
      <c r="I172" s="54">
        <f>I171/F171*100</f>
        <v>104.80000000000001</v>
      </c>
    </row>
    <row r="173" spans="1:9" ht="15" customHeight="1">
      <c r="A173" s="120" t="s">
        <v>19</v>
      </c>
      <c r="B173" s="11" t="s">
        <v>8</v>
      </c>
      <c r="C173" s="43">
        <v>0.112</v>
      </c>
      <c r="D173" s="43">
        <v>0.29599999999999999</v>
      </c>
      <c r="E173" s="43">
        <v>7.0000000000000007E-2</v>
      </c>
      <c r="F173" s="43">
        <v>0.08</v>
      </c>
      <c r="G173" s="43">
        <f>F173*105.6/100</f>
        <v>8.448E-2</v>
      </c>
      <c r="H173" s="72">
        <f>F173*103.3/100</f>
        <v>8.2639999999999991E-2</v>
      </c>
      <c r="I173" s="72">
        <f>F173*104.8/100</f>
        <v>8.3839999999999998E-2</v>
      </c>
    </row>
    <row r="174" spans="1:9" ht="25.5" customHeight="1">
      <c r="A174" s="120"/>
      <c r="B174" s="11" t="s">
        <v>5</v>
      </c>
      <c r="C174" s="50">
        <v>177.8</v>
      </c>
      <c r="D174" s="50">
        <v>264.3</v>
      </c>
      <c r="E174" s="50">
        <v>23.65</v>
      </c>
      <c r="F174" s="50">
        <v>114.3</v>
      </c>
      <c r="G174" s="50">
        <f>G173/F173*100</f>
        <v>105.60000000000001</v>
      </c>
      <c r="H174" s="54">
        <f>H173/F173*100</f>
        <v>103.3</v>
      </c>
      <c r="I174" s="54">
        <f>I173/F173*100</f>
        <v>104.80000000000001</v>
      </c>
    </row>
    <row r="175" spans="1:9" ht="15" customHeight="1">
      <c r="A175" s="120" t="s">
        <v>21</v>
      </c>
      <c r="B175" s="11" t="s">
        <v>8</v>
      </c>
      <c r="C175" s="43">
        <v>3.9420000000000002</v>
      </c>
      <c r="D175" s="43">
        <v>3.988</v>
      </c>
      <c r="E175" s="43">
        <v>4.0199999999999996</v>
      </c>
      <c r="F175" s="43">
        <v>4.3600000000000003</v>
      </c>
      <c r="G175" s="43">
        <f>F175*105.6/100</f>
        <v>4.6041600000000003</v>
      </c>
      <c r="H175" s="72">
        <f>F175*103.3/100</f>
        <v>4.5038800000000005</v>
      </c>
      <c r="I175" s="72">
        <f>F175*104.8/100</f>
        <v>4.56928</v>
      </c>
    </row>
    <row r="176" spans="1:9" ht="27" customHeight="1">
      <c r="A176" s="120"/>
      <c r="B176" s="11" t="s">
        <v>5</v>
      </c>
      <c r="C176" s="50">
        <v>87</v>
      </c>
      <c r="D176" s="50">
        <v>101.2</v>
      </c>
      <c r="E176" s="50">
        <v>100.8</v>
      </c>
      <c r="F176" s="50">
        <v>108.5</v>
      </c>
      <c r="G176" s="50">
        <f>G175/F175*100</f>
        <v>105.60000000000001</v>
      </c>
      <c r="H176" s="54">
        <f>H175/F175*100</f>
        <v>103.30000000000001</v>
      </c>
      <c r="I176" s="54">
        <f>I175/F175*100</f>
        <v>104.79999999999998</v>
      </c>
    </row>
    <row r="177" spans="1:10">
      <c r="A177" s="121" t="s">
        <v>24</v>
      </c>
      <c r="B177" s="11" t="s">
        <v>34</v>
      </c>
      <c r="C177" s="43">
        <f>C180+C182+C184</f>
        <v>0.46500000000000002</v>
      </c>
      <c r="D177" s="43">
        <f t="shared" ref="D177:F177" si="21">D180+D182+D184</f>
        <v>0.51200000000000001</v>
      </c>
      <c r="E177" s="43">
        <f t="shared" si="21"/>
        <v>0.47899999999999998</v>
      </c>
      <c r="F177" s="43">
        <f t="shared" si="21"/>
        <v>0.52</v>
      </c>
      <c r="G177" s="43">
        <f>F177*103/100</f>
        <v>0.53560000000000008</v>
      </c>
      <c r="H177" s="72">
        <f>F177*103.3/100</f>
        <v>0.53715999999999997</v>
      </c>
      <c r="I177" s="72">
        <f>F177*104.8/100</f>
        <v>0.54496</v>
      </c>
    </row>
    <row r="178" spans="1:10" ht="26.25" customHeight="1">
      <c r="A178" s="120"/>
      <c r="B178" s="11" t="s">
        <v>5</v>
      </c>
      <c r="C178" s="50">
        <v>132.1</v>
      </c>
      <c r="D178" s="50">
        <v>110.1</v>
      </c>
      <c r="E178" s="50">
        <v>93.5</v>
      </c>
      <c r="F178" s="50">
        <v>108.6</v>
      </c>
      <c r="G178" s="50">
        <f>G177/F177*100</f>
        <v>103</v>
      </c>
      <c r="H178" s="54">
        <f>H177/F177*100</f>
        <v>103.3</v>
      </c>
      <c r="I178" s="54">
        <f>I177/F177*100</f>
        <v>104.80000000000001</v>
      </c>
    </row>
    <row r="179" spans="1:10" ht="15" customHeight="1">
      <c r="A179" s="120" t="s">
        <v>13</v>
      </c>
      <c r="B179" s="11"/>
      <c r="C179" s="43"/>
      <c r="D179" s="43"/>
      <c r="E179" s="43"/>
      <c r="F179" s="43"/>
      <c r="G179" s="43"/>
      <c r="H179" s="72"/>
      <c r="I179" s="72"/>
    </row>
    <row r="180" spans="1:10" ht="15" customHeight="1">
      <c r="A180" s="120" t="s">
        <v>18</v>
      </c>
      <c r="B180" s="11" t="s">
        <v>34</v>
      </c>
      <c r="C180" s="43"/>
      <c r="D180" s="43"/>
      <c r="E180" s="43"/>
      <c r="F180" s="43"/>
      <c r="G180" s="43"/>
      <c r="H180" s="72"/>
      <c r="I180" s="72"/>
    </row>
    <row r="181" spans="1:10" ht="24.75" customHeight="1">
      <c r="A181" s="120"/>
      <c r="B181" s="11" t="s">
        <v>5</v>
      </c>
      <c r="C181" s="43"/>
      <c r="D181" s="43"/>
      <c r="E181" s="43"/>
      <c r="F181" s="43"/>
      <c r="G181" s="43"/>
      <c r="H181" s="72"/>
      <c r="I181" s="72"/>
    </row>
    <row r="182" spans="1:10" ht="15" customHeight="1">
      <c r="A182" s="120" t="s">
        <v>19</v>
      </c>
      <c r="B182" s="11" t="s">
        <v>34</v>
      </c>
      <c r="C182" s="43">
        <v>1.0999999999999999E-2</v>
      </c>
      <c r="D182" s="43">
        <v>1.2E-2</v>
      </c>
      <c r="E182" s="43">
        <v>3.0000000000000001E-3</v>
      </c>
      <c r="F182" s="43">
        <v>4.0000000000000001E-3</v>
      </c>
      <c r="G182" s="43">
        <f>F182*105.6/100</f>
        <v>4.2240000000000003E-3</v>
      </c>
      <c r="H182" s="72">
        <f>F182*103.3/100</f>
        <v>4.1320000000000003E-3</v>
      </c>
      <c r="I182" s="72">
        <f>F182*104.8/100</f>
        <v>4.1920000000000004E-3</v>
      </c>
    </row>
    <row r="183" spans="1:10" ht="27" customHeight="1">
      <c r="A183" s="120"/>
      <c r="B183" s="11" t="s">
        <v>5</v>
      </c>
      <c r="C183" s="50">
        <v>61.1</v>
      </c>
      <c r="D183" s="50">
        <v>109.1</v>
      </c>
      <c r="E183" s="50">
        <v>25</v>
      </c>
      <c r="F183" s="50">
        <v>133.30000000000001</v>
      </c>
      <c r="G183" s="50">
        <f>G182/F182*100</f>
        <v>105.60000000000001</v>
      </c>
      <c r="H183" s="54">
        <f>H182/F182*100</f>
        <v>103.30000000000001</v>
      </c>
      <c r="I183" s="54">
        <f>I182/F182*100</f>
        <v>104.80000000000001</v>
      </c>
    </row>
    <row r="184" spans="1:10" ht="15" customHeight="1">
      <c r="A184" s="120" t="s">
        <v>21</v>
      </c>
      <c r="B184" s="11" t="s">
        <v>34</v>
      </c>
      <c r="C184" s="43">
        <v>0.45400000000000001</v>
      </c>
      <c r="D184" s="43">
        <v>0.5</v>
      </c>
      <c r="E184" s="43">
        <v>0.47599999999999998</v>
      </c>
      <c r="F184" s="43">
        <v>0.51600000000000001</v>
      </c>
      <c r="G184" s="43">
        <f>F184*105.6/100</f>
        <v>0.54489599999999994</v>
      </c>
      <c r="H184" s="72">
        <f>F184*103.3/100</f>
        <v>0.53302799999999995</v>
      </c>
      <c r="I184" s="72">
        <f>F184*104.8/100</f>
        <v>0.54076800000000003</v>
      </c>
    </row>
    <row r="185" spans="1:10" ht="26.25" customHeight="1">
      <c r="A185" s="120"/>
      <c r="B185" s="11" t="s">
        <v>5</v>
      </c>
      <c r="C185" s="50">
        <v>135.9</v>
      </c>
      <c r="D185" s="50">
        <v>110.1</v>
      </c>
      <c r="E185" s="50">
        <v>95.2</v>
      </c>
      <c r="F185" s="50">
        <v>108.4</v>
      </c>
      <c r="G185" s="50">
        <f>G184/F184*100</f>
        <v>105.59999999999998</v>
      </c>
      <c r="H185" s="54">
        <f>H184/F184*100</f>
        <v>103.3</v>
      </c>
      <c r="I185" s="54">
        <f>I184/F184*100</f>
        <v>104.80000000000001</v>
      </c>
    </row>
    <row r="186" spans="1:10" ht="45.75" customHeight="1">
      <c r="A186" s="121" t="s">
        <v>25</v>
      </c>
      <c r="B186" s="11"/>
      <c r="C186" s="43"/>
      <c r="D186" s="43"/>
      <c r="E186" s="43"/>
      <c r="F186" s="43"/>
      <c r="G186" s="43"/>
      <c r="H186" s="72"/>
      <c r="I186" s="72"/>
    </row>
    <row r="187" spans="1:10" ht="15" customHeight="1">
      <c r="A187" s="120" t="s">
        <v>26</v>
      </c>
      <c r="B187" s="12" t="s">
        <v>35</v>
      </c>
      <c r="C187" s="43">
        <v>7.0999999999999994E-2</v>
      </c>
      <c r="D187" s="43">
        <v>0.105</v>
      </c>
      <c r="E187" s="43">
        <v>6.7000000000000004E-2</v>
      </c>
      <c r="F187" s="43">
        <v>7.0000000000000007E-2</v>
      </c>
      <c r="G187" s="43">
        <f>F187*104/100</f>
        <v>7.2800000000000017E-2</v>
      </c>
      <c r="H187" s="72">
        <f>F187*104.3/100</f>
        <v>7.3010000000000005E-2</v>
      </c>
      <c r="I187" s="72">
        <f>F187*105.7/100</f>
        <v>7.3990000000000014E-2</v>
      </c>
      <c r="J187" s="45"/>
    </row>
    <row r="188" spans="1:10" ht="15" customHeight="1">
      <c r="A188" s="120" t="s">
        <v>27</v>
      </c>
      <c r="B188" s="12" t="s">
        <v>35</v>
      </c>
      <c r="C188" s="43">
        <v>0.95199999999999996</v>
      </c>
      <c r="D188" s="43">
        <v>0.83099999999999996</v>
      </c>
      <c r="E188" s="43">
        <v>0.76800000000000002</v>
      </c>
      <c r="F188" s="43">
        <v>0.80900000000000005</v>
      </c>
      <c r="G188" s="43">
        <f>F188*104/100</f>
        <v>0.84136000000000011</v>
      </c>
      <c r="H188" s="72">
        <f>F188*104.3/100</f>
        <v>0.84378700000000006</v>
      </c>
      <c r="I188" s="72">
        <f>F188*105.7/100</f>
        <v>0.85511300000000001</v>
      </c>
    </row>
    <row r="189" spans="1:10" ht="15" customHeight="1">
      <c r="A189" s="120" t="s">
        <v>28</v>
      </c>
      <c r="B189" s="12" t="s">
        <v>35</v>
      </c>
      <c r="C189" s="43">
        <v>0.13900000000000001</v>
      </c>
      <c r="D189" s="43">
        <v>0.13700000000000001</v>
      </c>
      <c r="E189" s="43">
        <v>0.13700000000000001</v>
      </c>
      <c r="F189" s="43">
        <v>0.14399999999999999</v>
      </c>
      <c r="G189" s="43">
        <f>F189*104/100</f>
        <v>0.14976</v>
      </c>
      <c r="H189" s="72">
        <f>F189*104.3/100</f>
        <v>0.15019199999999999</v>
      </c>
      <c r="I189" s="72">
        <f>F189*105.7/100</f>
        <v>0.15220799999999998</v>
      </c>
    </row>
    <row r="190" spans="1:10" ht="33" customHeight="1">
      <c r="A190" s="121" t="s">
        <v>96</v>
      </c>
      <c r="B190" s="12"/>
      <c r="C190" s="43"/>
      <c r="D190" s="43"/>
      <c r="E190" s="43"/>
      <c r="F190" s="43"/>
      <c r="G190" s="43"/>
      <c r="H190" s="72"/>
      <c r="I190" s="72"/>
    </row>
    <row r="191" spans="1:10" ht="15" customHeight="1">
      <c r="A191" s="120" t="s">
        <v>29</v>
      </c>
      <c r="B191" s="12" t="s">
        <v>36</v>
      </c>
      <c r="C191" s="43">
        <v>2.3090000000000002</v>
      </c>
      <c r="D191" s="43">
        <v>2.1030000000000002</v>
      </c>
      <c r="E191" s="43">
        <v>2.1520000000000001</v>
      </c>
      <c r="F191" s="43">
        <v>2.367</v>
      </c>
      <c r="G191" s="43">
        <f>F191*105.6/100</f>
        <v>2.499552</v>
      </c>
      <c r="H191" s="72">
        <f>F191*103.3/100</f>
        <v>2.4451109999999998</v>
      </c>
      <c r="I191" s="72">
        <f>F191*104.8/100</f>
        <v>2.4806159999999999</v>
      </c>
    </row>
    <row r="192" spans="1:10" ht="15" customHeight="1">
      <c r="A192" s="120" t="s">
        <v>30</v>
      </c>
      <c r="B192" s="12" t="s">
        <v>36</v>
      </c>
      <c r="C192" s="43">
        <v>1.1659999999999999</v>
      </c>
      <c r="D192" s="43">
        <v>1.056</v>
      </c>
      <c r="E192" s="43">
        <v>1.107</v>
      </c>
      <c r="F192" s="43">
        <v>1.218</v>
      </c>
      <c r="G192" s="43">
        <f>F192*105.6/100</f>
        <v>1.286208</v>
      </c>
      <c r="H192" s="72">
        <f>F192*103.3/100</f>
        <v>1.2581939999999998</v>
      </c>
      <c r="I192" s="72">
        <f>F192*104.8/100</f>
        <v>1.276464</v>
      </c>
    </row>
    <row r="193" spans="1:14" ht="15" customHeight="1">
      <c r="A193" s="120" t="s">
        <v>31</v>
      </c>
      <c r="B193" s="12" t="s">
        <v>36</v>
      </c>
      <c r="C193" s="43">
        <v>0.54500000000000004</v>
      </c>
      <c r="D193" s="43">
        <v>0.441</v>
      </c>
      <c r="E193" s="43">
        <v>0.53900000000000003</v>
      </c>
      <c r="F193" s="43">
        <v>0.59299999999999997</v>
      </c>
      <c r="G193" s="43">
        <f>F193*105.6/100</f>
        <v>0.62620799999999999</v>
      </c>
      <c r="H193" s="72">
        <f>F193*103.3/100</f>
        <v>0.61256899999999992</v>
      </c>
      <c r="I193" s="72">
        <f>F193*104.8/100</f>
        <v>0.62146399999999991</v>
      </c>
    </row>
    <row r="194" spans="1:14" ht="15" customHeight="1">
      <c r="A194" s="120" t="s">
        <v>32</v>
      </c>
      <c r="B194" s="12" t="s">
        <v>36</v>
      </c>
      <c r="C194" s="43">
        <v>3.4830000000000001</v>
      </c>
      <c r="D194" s="43">
        <v>2.8420000000000001</v>
      </c>
      <c r="E194" s="43">
        <v>2.8959999999999999</v>
      </c>
      <c r="F194" s="43">
        <v>3.1859999999999999</v>
      </c>
      <c r="G194" s="43">
        <f>F194*105.6/100</f>
        <v>3.3644159999999999</v>
      </c>
      <c r="H194" s="72">
        <f>F194*103.3/100</f>
        <v>3.2911379999999997</v>
      </c>
      <c r="I194" s="72">
        <f>F194*104.8/100</f>
        <v>3.3389279999999997</v>
      </c>
    </row>
    <row r="195" spans="1:14" s="24" customFormat="1" ht="20.25" customHeight="1">
      <c r="A195" s="129" t="s">
        <v>102</v>
      </c>
      <c r="B195" s="129"/>
      <c r="C195" s="129"/>
      <c r="D195" s="129"/>
      <c r="E195" s="129"/>
      <c r="F195" s="129"/>
      <c r="G195" s="129"/>
      <c r="H195" s="129"/>
      <c r="I195" s="129"/>
    </row>
    <row r="196" spans="1:14" ht="45" customHeight="1">
      <c r="A196" s="98" t="s">
        <v>39</v>
      </c>
      <c r="B196" s="1"/>
      <c r="C196" s="47"/>
      <c r="D196" s="47"/>
      <c r="E196" s="47"/>
      <c r="F196" s="47"/>
      <c r="G196" s="47"/>
      <c r="H196" s="48"/>
      <c r="I196" s="48"/>
    </row>
    <row r="197" spans="1:14" ht="26.25" customHeight="1">
      <c r="A197" s="75" t="s">
        <v>2</v>
      </c>
      <c r="B197" s="2" t="s">
        <v>7</v>
      </c>
      <c r="C197" s="50">
        <v>1602</v>
      </c>
      <c r="D197" s="50">
        <f>D199+0.749+59.9</f>
        <v>409.35300000000001</v>
      </c>
      <c r="E197" s="50">
        <f>E199+16+74.6</f>
        <v>388.70000000000005</v>
      </c>
      <c r="F197" s="50">
        <f>F199+16+9.2</f>
        <v>278.09999999999997</v>
      </c>
      <c r="G197" s="50">
        <f>G199+16+7</f>
        <v>196.29999999999998</v>
      </c>
      <c r="H197" s="50">
        <f>H199+16+5.5</f>
        <v>271.60000000000002</v>
      </c>
      <c r="I197" s="50">
        <f>I199+16+4</f>
        <v>232.9</v>
      </c>
    </row>
    <row r="198" spans="1:14" ht="27" customHeight="1">
      <c r="A198" s="75" t="s">
        <v>14</v>
      </c>
      <c r="B198" s="2" t="s">
        <v>5</v>
      </c>
      <c r="C198" s="51">
        <v>103.3</v>
      </c>
      <c r="D198" s="51">
        <f>D197/1.068/C197*100</f>
        <v>23.925675770455467</v>
      </c>
      <c r="E198" s="51">
        <f>E197/1.059/D197*100</f>
        <v>89.664514854410157</v>
      </c>
      <c r="F198" s="51">
        <f>F197/1.043/E197*100</f>
        <v>68.59652883311162</v>
      </c>
      <c r="G198" s="51">
        <f>G197/1.051/F197*100</f>
        <v>67.160913511592028</v>
      </c>
      <c r="H198" s="52">
        <f>H197/1.053/G197*100</f>
        <v>131.39568242302155</v>
      </c>
      <c r="I198" s="52">
        <f>I197/1.048/H197*100</f>
        <v>81.823573058719035</v>
      </c>
    </row>
    <row r="199" spans="1:14" ht="33" customHeight="1">
      <c r="A199" s="56" t="s">
        <v>269</v>
      </c>
      <c r="B199" s="3"/>
      <c r="C199" s="50">
        <f>C201+C210+C213+C216+C219+C222+C225+C228+C231+7.852+2.083</f>
        <v>1591.6020000000001</v>
      </c>
      <c r="D199" s="50">
        <f>D201+D210+D213+D216+D219+D222+D225+D228+D231+62.629+2.413</f>
        <v>348.70400000000001</v>
      </c>
      <c r="E199" s="50">
        <f>E201+E210+E213+E216+E219+E222+E225+E228+E231+13.2+3.7</f>
        <v>298.10000000000002</v>
      </c>
      <c r="F199" s="50">
        <f>F201+F210+F213+F216+F219+F222+F225+F228+F231+13.2+3.7</f>
        <v>252.89999999999998</v>
      </c>
      <c r="G199" s="50">
        <f>G201+G210+G213+G216+G219+G222+G225+G228+G231+5+15</f>
        <v>173.29999999999998</v>
      </c>
      <c r="H199" s="50">
        <f>H201+H210+H213+H216+H219+H222+H225+H228+H231+5+15</f>
        <v>250.1</v>
      </c>
      <c r="I199" s="50">
        <f>I201+I210+I213+I216+I219+I222+I225+I228+I231+7+15</f>
        <v>212.9</v>
      </c>
      <c r="J199" s="53"/>
      <c r="K199" s="53"/>
      <c r="L199" s="53"/>
      <c r="M199" s="53"/>
      <c r="N199" s="53"/>
    </row>
    <row r="200" spans="1:14" s="29" customFormat="1" ht="30" customHeight="1">
      <c r="A200" s="128" t="s">
        <v>142</v>
      </c>
      <c r="B200" s="128"/>
      <c r="C200" s="50"/>
      <c r="D200" s="50"/>
      <c r="E200" s="50"/>
      <c r="F200" s="50"/>
      <c r="G200" s="54"/>
      <c r="H200" s="55"/>
      <c r="I200" s="55"/>
    </row>
    <row r="201" spans="1:14" ht="27" customHeight="1">
      <c r="A201" s="99" t="s">
        <v>2</v>
      </c>
      <c r="B201" s="3" t="s">
        <v>7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</row>
    <row r="202" spans="1:14" ht="27.75" customHeight="1">
      <c r="A202" s="99" t="s">
        <v>14</v>
      </c>
      <c r="B202" s="3" t="s">
        <v>5</v>
      </c>
      <c r="C202" s="51"/>
      <c r="D202" s="51"/>
      <c r="E202" s="51"/>
      <c r="F202" s="51"/>
      <c r="G202" s="51"/>
      <c r="H202" s="51"/>
      <c r="I202" s="51"/>
    </row>
    <row r="203" spans="1:14">
      <c r="A203" s="56" t="s">
        <v>143</v>
      </c>
      <c r="B203" s="3"/>
      <c r="C203" s="51"/>
      <c r="D203" s="51"/>
      <c r="E203" s="51"/>
      <c r="F203" s="51"/>
      <c r="G203" s="51"/>
      <c r="H203" s="51"/>
      <c r="I203" s="51"/>
    </row>
    <row r="204" spans="1:14" ht="27" customHeight="1">
      <c r="A204" s="99" t="s">
        <v>2</v>
      </c>
      <c r="B204" s="3" t="s">
        <v>7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</row>
    <row r="205" spans="1:14" ht="27" customHeight="1">
      <c r="A205" s="99" t="s">
        <v>14</v>
      </c>
      <c r="B205" s="3" t="s">
        <v>5</v>
      </c>
      <c r="C205" s="51"/>
      <c r="D205" s="51"/>
      <c r="E205" s="51"/>
      <c r="F205" s="51"/>
      <c r="G205" s="51"/>
      <c r="H205" s="51"/>
      <c r="I205" s="51"/>
    </row>
    <row r="206" spans="1:14" s="29" customFormat="1">
      <c r="A206" s="128" t="s">
        <v>144</v>
      </c>
      <c r="B206" s="128"/>
      <c r="C206" s="51"/>
      <c r="D206" s="51"/>
      <c r="E206" s="51"/>
      <c r="F206" s="51"/>
      <c r="G206" s="51"/>
      <c r="H206" s="51"/>
      <c r="I206" s="51"/>
    </row>
    <row r="207" spans="1:14" ht="26.25" customHeight="1">
      <c r="A207" s="99" t="s">
        <v>2</v>
      </c>
      <c r="B207" s="3" t="s">
        <v>7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</row>
    <row r="208" spans="1:14" ht="26.25" customHeight="1">
      <c r="A208" s="99" t="s">
        <v>14</v>
      </c>
      <c r="B208" s="3" t="s">
        <v>5</v>
      </c>
      <c r="C208" s="51"/>
      <c r="D208" s="51"/>
      <c r="E208" s="51"/>
      <c r="F208" s="51"/>
      <c r="G208" s="52"/>
      <c r="H208" s="55"/>
      <c r="I208" s="55"/>
    </row>
    <row r="209" spans="1:9" s="29" customFormat="1">
      <c r="A209" s="128" t="s">
        <v>145</v>
      </c>
      <c r="B209" s="128"/>
      <c r="C209" s="51"/>
      <c r="D209" s="51"/>
      <c r="E209" s="51"/>
      <c r="F209" s="51"/>
      <c r="G209" s="52"/>
      <c r="H209" s="55"/>
      <c r="I209" s="55"/>
    </row>
    <row r="210" spans="1:9" ht="27" customHeight="1">
      <c r="A210" s="99" t="s">
        <v>2</v>
      </c>
      <c r="B210" s="3" t="s">
        <v>7</v>
      </c>
      <c r="C210" s="51">
        <f>1.427</f>
        <v>1.427</v>
      </c>
      <c r="D210" s="51">
        <v>9.8759999999999994</v>
      </c>
      <c r="E210" s="51">
        <v>7.4</v>
      </c>
      <c r="F210" s="51">
        <v>6</v>
      </c>
      <c r="G210" s="52">
        <v>2</v>
      </c>
      <c r="H210" s="52">
        <v>2</v>
      </c>
      <c r="I210" s="52">
        <v>2</v>
      </c>
    </row>
    <row r="211" spans="1:9" ht="25.5" customHeight="1">
      <c r="A211" s="99" t="s">
        <v>14</v>
      </c>
      <c r="B211" s="3" t="s">
        <v>5</v>
      </c>
      <c r="C211" s="51">
        <v>31.3</v>
      </c>
      <c r="D211" s="51">
        <f>D210/1.068/C210*100</f>
        <v>648.01618859397013</v>
      </c>
      <c r="E211" s="51">
        <f>E210/1.055/D210*100</f>
        <v>71.022863603469773</v>
      </c>
      <c r="F211" s="51">
        <f>F210/1.043/E210*100</f>
        <v>77.73833277188983</v>
      </c>
      <c r="G211" s="51">
        <f>G210/1.051/F210*100</f>
        <v>31.715826197272438</v>
      </c>
      <c r="H211" s="52">
        <f>H210/1.053/G210*100</f>
        <v>94.966761633428305</v>
      </c>
      <c r="I211" s="52">
        <f>I210/1.048/H210*100</f>
        <v>95.419847328244273</v>
      </c>
    </row>
    <row r="212" spans="1:9" s="29" customFormat="1" ht="34.5" customHeight="1">
      <c r="A212" s="100" t="s">
        <v>146</v>
      </c>
      <c r="B212" s="101"/>
      <c r="C212" s="51"/>
      <c r="D212" s="51"/>
      <c r="E212" s="51"/>
      <c r="F212" s="51"/>
      <c r="G212" s="52"/>
      <c r="H212" s="55"/>
      <c r="I212" s="55"/>
    </row>
    <row r="213" spans="1:9" ht="26.25" customHeight="1">
      <c r="A213" s="99" t="s">
        <v>2</v>
      </c>
      <c r="B213" s="3" t="s">
        <v>7</v>
      </c>
      <c r="C213" s="51">
        <f>26.073</f>
        <v>26.073</v>
      </c>
      <c r="D213" s="51">
        <f>12.291</f>
        <v>12.291</v>
      </c>
      <c r="E213" s="51">
        <v>16</v>
      </c>
      <c r="F213" s="51">
        <v>83.3</v>
      </c>
      <c r="G213" s="52">
        <v>69.3</v>
      </c>
      <c r="H213" s="52">
        <v>104</v>
      </c>
      <c r="I213" s="52">
        <v>99.7</v>
      </c>
    </row>
    <row r="214" spans="1:9" ht="27" customHeight="1">
      <c r="A214" s="99" t="s">
        <v>14</v>
      </c>
      <c r="B214" s="3" t="s">
        <v>5</v>
      </c>
      <c r="C214" s="51">
        <v>34.5</v>
      </c>
      <c r="D214" s="51">
        <f>D213/1.068/C213*100</f>
        <v>44.13925120351373</v>
      </c>
      <c r="E214" s="51">
        <f>E213/1.055/D213*100</f>
        <v>123.39009663372535</v>
      </c>
      <c r="F214" s="51">
        <f>F213/1.043/E213*100</f>
        <v>499.16107382550337</v>
      </c>
      <c r="G214" s="51">
        <f>G213/1.051/F213*100</f>
        <v>79.15630571924298</v>
      </c>
      <c r="H214" s="52">
        <f>H213/1.053/G213*100</f>
        <v>142.51866103717958</v>
      </c>
      <c r="I214" s="52">
        <f>I213/1.048/H213*100</f>
        <v>91.474603640634172</v>
      </c>
    </row>
    <row r="215" spans="1:9" s="29" customFormat="1">
      <c r="A215" s="56" t="s">
        <v>147</v>
      </c>
      <c r="B215" s="56"/>
      <c r="C215" s="51"/>
      <c r="D215" s="51"/>
      <c r="E215" s="51"/>
      <c r="F215" s="51"/>
      <c r="G215" s="52"/>
      <c r="H215" s="55"/>
      <c r="I215" s="55"/>
    </row>
    <row r="216" spans="1:9" ht="25.5">
      <c r="A216" s="99" t="s">
        <v>2</v>
      </c>
      <c r="B216" s="3" t="s">
        <v>7</v>
      </c>
      <c r="C216" s="51">
        <v>3.73</v>
      </c>
      <c r="D216" s="51">
        <v>0</v>
      </c>
      <c r="E216" s="51">
        <v>0</v>
      </c>
      <c r="F216" s="51">
        <v>4</v>
      </c>
      <c r="G216" s="52">
        <v>4</v>
      </c>
      <c r="H216" s="52">
        <v>4</v>
      </c>
      <c r="I216" s="52">
        <v>4</v>
      </c>
    </row>
    <row r="217" spans="1:9" ht="24.75" customHeight="1">
      <c r="A217" s="99" t="s">
        <v>14</v>
      </c>
      <c r="B217" s="3" t="s">
        <v>5</v>
      </c>
      <c r="C217" s="51">
        <v>150.80000000000001</v>
      </c>
      <c r="D217" s="51">
        <f>D216/1.068/C216*100</f>
        <v>0</v>
      </c>
      <c r="E217" s="51">
        <v>0</v>
      </c>
      <c r="F217" s="51">
        <v>0</v>
      </c>
      <c r="G217" s="51">
        <f>G216/1.051/F216*100</f>
        <v>95.147478591817318</v>
      </c>
      <c r="H217" s="52">
        <f>H216/1.053/G216*100</f>
        <v>94.966761633428305</v>
      </c>
      <c r="I217" s="52">
        <f>I216/1.048/H216*100</f>
        <v>95.419847328244273</v>
      </c>
    </row>
    <row r="218" spans="1:9" s="29" customFormat="1">
      <c r="A218" s="56" t="s">
        <v>148</v>
      </c>
      <c r="B218" s="56"/>
      <c r="C218" s="51"/>
      <c r="D218" s="51"/>
      <c r="E218" s="51"/>
      <c r="F218" s="51"/>
      <c r="G218" s="52"/>
      <c r="H218" s="55"/>
      <c r="I218" s="55"/>
    </row>
    <row r="219" spans="1:9" ht="27" customHeight="1">
      <c r="A219" s="99" t="s">
        <v>2</v>
      </c>
      <c r="B219" s="3" t="s">
        <v>7</v>
      </c>
      <c r="C219" s="51">
        <f>0.2</f>
        <v>0.2</v>
      </c>
      <c r="D219" s="51">
        <v>0</v>
      </c>
      <c r="E219" s="51">
        <v>0</v>
      </c>
      <c r="F219" s="51">
        <v>0.2</v>
      </c>
      <c r="G219" s="52">
        <v>1</v>
      </c>
      <c r="H219" s="52">
        <v>0.3</v>
      </c>
      <c r="I219" s="52">
        <v>0.3</v>
      </c>
    </row>
    <row r="220" spans="1:9" ht="25.5" customHeight="1">
      <c r="A220" s="99" t="s">
        <v>14</v>
      </c>
      <c r="B220" s="3" t="s">
        <v>5</v>
      </c>
      <c r="C220" s="51">
        <v>10.1</v>
      </c>
      <c r="D220" s="51">
        <f>D219/1.068/C219*100</f>
        <v>0</v>
      </c>
      <c r="E220" s="51">
        <v>0</v>
      </c>
      <c r="F220" s="51">
        <v>0</v>
      </c>
      <c r="G220" s="51">
        <f>G219/1.051/F219*100</f>
        <v>475.73739295908661</v>
      </c>
      <c r="H220" s="52">
        <f>H219/1.053/G219*100</f>
        <v>28.490028490028489</v>
      </c>
      <c r="I220" s="52">
        <f>I219/1.048/H219*100</f>
        <v>95.419847328244273</v>
      </c>
    </row>
    <row r="221" spans="1:9" s="29" customFormat="1">
      <c r="A221" s="56" t="s">
        <v>149</v>
      </c>
      <c r="B221" s="56"/>
      <c r="C221" s="51"/>
      <c r="D221" s="51"/>
      <c r="E221" s="51"/>
      <c r="F221" s="51"/>
      <c r="G221" s="52"/>
      <c r="H221" s="55"/>
      <c r="I221" s="55"/>
    </row>
    <row r="222" spans="1:9" ht="27" customHeight="1">
      <c r="A222" s="99" t="s">
        <v>2</v>
      </c>
      <c r="B222" s="3" t="s">
        <v>7</v>
      </c>
      <c r="C222" s="51">
        <v>1437.329</v>
      </c>
      <c r="D222" s="51">
        <v>212.24799999999999</v>
      </c>
      <c r="E222" s="51">
        <v>146.5</v>
      </c>
      <c r="F222" s="51">
        <v>82.7</v>
      </c>
      <c r="G222" s="52">
        <v>10</v>
      </c>
      <c r="H222" s="52">
        <v>10</v>
      </c>
      <c r="I222" s="52">
        <v>10</v>
      </c>
    </row>
    <row r="223" spans="1:9" ht="26.25" customHeight="1">
      <c r="A223" s="99" t="s">
        <v>14</v>
      </c>
      <c r="B223" s="3" t="s">
        <v>5</v>
      </c>
      <c r="C223" s="51">
        <v>102.3</v>
      </c>
      <c r="D223" s="51">
        <f>D222/1.068/C222*100</f>
        <v>13.826624412156418</v>
      </c>
      <c r="E223" s="51">
        <f>E222/1.055/D222*100</f>
        <v>65.424672666741827</v>
      </c>
      <c r="F223" s="51">
        <f>F222/1.043/E222*100</f>
        <v>54.123213753971719</v>
      </c>
      <c r="G223" s="51">
        <f>G222/1.051/F222*100</f>
        <v>11.505136468176216</v>
      </c>
      <c r="H223" s="52">
        <f>H222/1.053/G222*100</f>
        <v>94.966761633428291</v>
      </c>
      <c r="I223" s="52">
        <f>I222/1.048/H222*100</f>
        <v>95.419847328244273</v>
      </c>
    </row>
    <row r="224" spans="1:9" s="29" customFormat="1" ht="42.75">
      <c r="A224" s="114" t="s">
        <v>150</v>
      </c>
      <c r="B224" s="56"/>
      <c r="C224" s="51"/>
      <c r="D224" s="51"/>
      <c r="E224" s="51"/>
      <c r="F224" s="51"/>
      <c r="G224" s="52"/>
      <c r="H224" s="55"/>
      <c r="I224" s="55"/>
    </row>
    <row r="225" spans="1:9" ht="27" customHeight="1">
      <c r="A225" s="99" t="s">
        <v>2</v>
      </c>
      <c r="B225" s="3" t="s">
        <v>7</v>
      </c>
      <c r="C225" s="51">
        <v>39.917000000000002</v>
      </c>
      <c r="D225" s="51">
        <v>2.8849999999999998</v>
      </c>
      <c r="E225" s="51">
        <v>45.9</v>
      </c>
      <c r="F225" s="51">
        <v>20</v>
      </c>
      <c r="G225" s="57">
        <v>0.3</v>
      </c>
      <c r="H225" s="57">
        <v>0.3</v>
      </c>
      <c r="I225" s="57">
        <v>0.3</v>
      </c>
    </row>
    <row r="226" spans="1:9" ht="25.5" customHeight="1">
      <c r="A226" s="99" t="s">
        <v>14</v>
      </c>
      <c r="B226" s="3" t="s">
        <v>5</v>
      </c>
      <c r="C226" s="51">
        <v>14457.5</v>
      </c>
      <c r="D226" s="51">
        <f>D225/1.068/C225*100</f>
        <v>6.7673193411910217</v>
      </c>
      <c r="E226" s="51">
        <f>E225/1.055/D225*100</f>
        <v>1508.0453727812599</v>
      </c>
      <c r="F226" s="51">
        <f>F225/1.043/E225*100</f>
        <v>41.776591322584224</v>
      </c>
      <c r="G226" s="51">
        <f>G225/1.051/F225*100</f>
        <v>1.4272121788772598</v>
      </c>
      <c r="H226" s="52">
        <f>H225/1.053/G225*100</f>
        <v>94.966761633428305</v>
      </c>
      <c r="I226" s="52">
        <f>I225/1.048/H225*100</f>
        <v>95.419847328244273</v>
      </c>
    </row>
    <row r="227" spans="1:9" s="29" customFormat="1">
      <c r="A227" s="114" t="s">
        <v>151</v>
      </c>
      <c r="B227" s="56"/>
      <c r="C227" s="51"/>
      <c r="D227" s="51"/>
      <c r="E227" s="51"/>
      <c r="F227" s="51"/>
      <c r="G227" s="52"/>
      <c r="H227" s="55"/>
      <c r="I227" s="55"/>
    </row>
    <row r="228" spans="1:9" ht="25.5">
      <c r="A228" s="99" t="s">
        <v>2</v>
      </c>
      <c r="B228" s="3" t="s">
        <v>7</v>
      </c>
      <c r="C228" s="58">
        <v>23.251000000000001</v>
      </c>
      <c r="D228" s="58">
        <v>30.509</v>
      </c>
      <c r="E228" s="58">
        <v>32.299999999999997</v>
      </c>
      <c r="F228" s="58">
        <v>19.5</v>
      </c>
      <c r="G228" s="55">
        <v>49.5</v>
      </c>
      <c r="H228" s="55">
        <v>73.900000000000006</v>
      </c>
      <c r="I228" s="55">
        <v>55.8</v>
      </c>
    </row>
    <row r="229" spans="1:9" ht="27" customHeight="1">
      <c r="A229" s="99" t="s">
        <v>14</v>
      </c>
      <c r="B229" s="3" t="s">
        <v>5</v>
      </c>
      <c r="C229" s="51">
        <v>367.7</v>
      </c>
      <c r="D229" s="51">
        <f>D228/1.068/C228*100</f>
        <v>122.86129371101914</v>
      </c>
      <c r="E229" s="51">
        <f>E228/1.055/D228*100</f>
        <v>100.3510890034935</v>
      </c>
      <c r="F229" s="51">
        <f>F228/1.043/E228*100</f>
        <v>57.882566661422615</v>
      </c>
      <c r="G229" s="51">
        <f>G228/1.051/F228*100</f>
        <v>241.52821488692089</v>
      </c>
      <c r="H229" s="52">
        <f>H228/1.053/G228*100</f>
        <v>141.77866029717882</v>
      </c>
      <c r="I229" s="52">
        <f>I228/1.048/H228*100</f>
        <v>72.0490863452778</v>
      </c>
    </row>
    <row r="230" spans="1:9" s="29" customFormat="1" ht="28.5">
      <c r="A230" s="114" t="s">
        <v>152</v>
      </c>
      <c r="B230" s="56"/>
      <c r="C230" s="51"/>
      <c r="D230" s="51"/>
      <c r="E230" s="51"/>
      <c r="F230" s="51"/>
      <c r="G230" s="52"/>
      <c r="H230" s="55"/>
      <c r="I230" s="55"/>
    </row>
    <row r="231" spans="1:9" ht="27" customHeight="1">
      <c r="A231" s="99" t="s">
        <v>2</v>
      </c>
      <c r="B231" s="3" t="s">
        <v>7</v>
      </c>
      <c r="C231" s="51">
        <v>49.74</v>
      </c>
      <c r="D231" s="51">
        <v>15.853</v>
      </c>
      <c r="E231" s="51">
        <v>33.1</v>
      </c>
      <c r="F231" s="51">
        <v>20.3</v>
      </c>
      <c r="G231" s="52">
        <v>17.2</v>
      </c>
      <c r="H231" s="52">
        <v>35.6</v>
      </c>
      <c r="I231" s="52">
        <v>18.8</v>
      </c>
    </row>
    <row r="232" spans="1:9" ht="24.75" customHeight="1">
      <c r="A232" s="99" t="s">
        <v>14</v>
      </c>
      <c r="B232" s="3" t="s">
        <v>5</v>
      </c>
      <c r="C232" s="51">
        <v>345.5</v>
      </c>
      <c r="D232" s="51">
        <f>D231/1.068/C231*100</f>
        <v>29.842446640131676</v>
      </c>
      <c r="E232" s="51">
        <f>E231/1.055/D231*100</f>
        <v>197.90833017686492</v>
      </c>
      <c r="F232" s="51">
        <f>F231/1.043/E231*100</f>
        <v>58.800867819704386</v>
      </c>
      <c r="G232" s="51">
        <f>G231/1.051/F231*100</f>
        <v>80.617568067943736</v>
      </c>
      <c r="H232" s="52">
        <f>H231/1.053/G231*100</f>
        <v>196.55911128779346</v>
      </c>
      <c r="I232" s="52">
        <f>I231/1.048/H231*100</f>
        <v>50.390256454241353</v>
      </c>
    </row>
    <row r="233" spans="1:9" ht="44.25">
      <c r="A233" s="98" t="s">
        <v>270</v>
      </c>
      <c r="B233" s="49"/>
      <c r="C233" s="51"/>
      <c r="D233" s="51"/>
      <c r="E233" s="51"/>
      <c r="F233" s="51"/>
      <c r="G233" s="52"/>
      <c r="H233" s="59"/>
      <c r="I233" s="59"/>
    </row>
    <row r="234" spans="1:9">
      <c r="A234" s="87" t="s">
        <v>59</v>
      </c>
      <c r="B234" s="49"/>
      <c r="C234" s="51"/>
      <c r="D234" s="51"/>
      <c r="E234" s="51"/>
      <c r="F234" s="51"/>
      <c r="G234" s="52"/>
      <c r="H234" s="59"/>
      <c r="I234" s="59"/>
    </row>
    <row r="235" spans="1:9" ht="26.25" customHeight="1">
      <c r="A235" s="75" t="s">
        <v>2</v>
      </c>
      <c r="B235" s="2" t="s">
        <v>7</v>
      </c>
      <c r="C235" s="51">
        <v>126.249</v>
      </c>
      <c r="D235" s="51">
        <f>D239+D242</f>
        <v>165.6</v>
      </c>
      <c r="E235" s="51">
        <f>E239+E242</f>
        <v>176.6</v>
      </c>
      <c r="F235" s="51">
        <f t="shared" ref="F235:I235" si="22">F239+F242</f>
        <v>142.79999999999998</v>
      </c>
      <c r="G235" s="51">
        <f t="shared" si="22"/>
        <v>16.3</v>
      </c>
      <c r="H235" s="51">
        <f t="shared" si="22"/>
        <v>44.3</v>
      </c>
      <c r="I235" s="51">
        <f t="shared" si="22"/>
        <v>34.199999999999996</v>
      </c>
    </row>
    <row r="236" spans="1:9" ht="27.75" customHeight="1">
      <c r="A236" s="75" t="s">
        <v>14</v>
      </c>
      <c r="B236" s="2" t="s">
        <v>5</v>
      </c>
      <c r="C236" s="51">
        <v>309.2</v>
      </c>
      <c r="D236" s="51">
        <f>D235/1.068/C235*100</f>
        <v>122.81774887348089</v>
      </c>
      <c r="E236" s="51">
        <f>E235/1.055/D235*100</f>
        <v>101.08294983629828</v>
      </c>
      <c r="F236" s="51">
        <f>F235/1.043/E235*100</f>
        <v>77.527039455182532</v>
      </c>
      <c r="G236" s="51">
        <f>G235/1.051/F235*100</f>
        <v>10.860671575956742</v>
      </c>
      <c r="H236" s="52">
        <f>H235/1.053/G235*100</f>
        <v>258.09984910189411</v>
      </c>
      <c r="I236" s="52">
        <f>I235/1.048/H235*100</f>
        <v>73.664983716161487</v>
      </c>
    </row>
    <row r="237" spans="1:9">
      <c r="A237" s="75" t="s">
        <v>40</v>
      </c>
      <c r="B237" s="49"/>
      <c r="C237" s="51"/>
      <c r="D237" s="51"/>
      <c r="E237" s="51"/>
      <c r="F237" s="51"/>
      <c r="G237" s="52"/>
      <c r="H237" s="59"/>
      <c r="I237" s="59"/>
    </row>
    <row r="238" spans="1:9">
      <c r="A238" s="75" t="s">
        <v>41</v>
      </c>
      <c r="B238" s="49"/>
      <c r="C238" s="51"/>
      <c r="D238" s="51"/>
      <c r="E238" s="51"/>
      <c r="F238" s="51"/>
      <c r="G238" s="52"/>
      <c r="H238" s="59"/>
      <c r="I238" s="59"/>
    </row>
    <row r="239" spans="1:9" ht="27" customHeight="1">
      <c r="A239" s="75" t="s">
        <v>2</v>
      </c>
      <c r="B239" s="2" t="s">
        <v>7</v>
      </c>
      <c r="C239" s="51">
        <v>65.620999999999995</v>
      </c>
      <c r="D239" s="51">
        <v>150.4</v>
      </c>
      <c r="E239" s="51">
        <v>117.2</v>
      </c>
      <c r="F239" s="51">
        <v>10.199999999999999</v>
      </c>
      <c r="G239" s="52">
        <v>3.6</v>
      </c>
      <c r="H239" s="52">
        <v>15.3</v>
      </c>
      <c r="I239" s="52">
        <v>2.8</v>
      </c>
    </row>
    <row r="240" spans="1:9" ht="24.75" customHeight="1">
      <c r="A240" s="75" t="s">
        <v>14</v>
      </c>
      <c r="B240" s="2" t="s">
        <v>5</v>
      </c>
      <c r="C240" s="51">
        <v>730.2</v>
      </c>
      <c r="D240" s="51">
        <f>D239/1.068/C239*100</f>
        <v>214.60198722581674</v>
      </c>
      <c r="E240" s="51">
        <f>E239/1.055/D239*100</f>
        <v>73.863063426439453</v>
      </c>
      <c r="F240" s="51">
        <f>F239/1.043/E239*100</f>
        <v>8.3442681422386844</v>
      </c>
      <c r="G240" s="51">
        <f>G239/1.051/F239*100</f>
        <v>33.58146303240612</v>
      </c>
      <c r="H240" s="52">
        <f>H239/1.053/G239*100</f>
        <v>403.60873694207032</v>
      </c>
      <c r="I240" s="52">
        <f>I239/1.048/H239*100</f>
        <v>17.462455720201564</v>
      </c>
    </row>
    <row r="241" spans="1:9">
      <c r="A241" s="75" t="s">
        <v>42</v>
      </c>
      <c r="B241" s="49"/>
      <c r="C241" s="51"/>
      <c r="D241" s="51"/>
      <c r="E241" s="51"/>
      <c r="F241" s="51"/>
      <c r="G241" s="52"/>
      <c r="H241" s="59"/>
      <c r="I241" s="59"/>
    </row>
    <row r="242" spans="1:9" ht="27" customHeight="1">
      <c r="A242" s="75" t="s">
        <v>2</v>
      </c>
      <c r="B242" s="2" t="s">
        <v>7</v>
      </c>
      <c r="C242" s="51">
        <v>60.478000000000002</v>
      </c>
      <c r="D242" s="51">
        <v>15.2</v>
      </c>
      <c r="E242" s="51">
        <v>59.4</v>
      </c>
      <c r="F242" s="51">
        <v>132.6</v>
      </c>
      <c r="G242" s="52">
        <v>12.7</v>
      </c>
      <c r="H242" s="52">
        <v>29</v>
      </c>
      <c r="I242" s="52">
        <v>31.4</v>
      </c>
    </row>
    <row r="243" spans="1:9" ht="27" customHeight="1">
      <c r="A243" s="75" t="s">
        <v>14</v>
      </c>
      <c r="B243" s="2" t="s">
        <v>5</v>
      </c>
      <c r="C243" s="51">
        <v>194.5</v>
      </c>
      <c r="D243" s="51">
        <f>D242/1.068/C242*100</f>
        <v>23.532871023889207</v>
      </c>
      <c r="E243" s="51">
        <f>E242/1.055/D242*100</f>
        <v>370.41656273384888</v>
      </c>
      <c r="F243" s="51">
        <f>F242/1.043/E242*100</f>
        <v>214.02907308947579</v>
      </c>
      <c r="G243" s="51">
        <f>G242/1.051/F242*100</f>
        <v>9.1129183869990964</v>
      </c>
      <c r="H243" s="52">
        <f>H242/1.053/G242*100</f>
        <v>216.85323522593865</v>
      </c>
      <c r="I243" s="52">
        <f>I242/1.048/H242*100</f>
        <v>103.31666227954726</v>
      </c>
    </row>
    <row r="244" spans="1:9">
      <c r="A244" s="87" t="s">
        <v>60</v>
      </c>
      <c r="B244" s="49"/>
      <c r="C244" s="51"/>
      <c r="D244" s="51"/>
      <c r="E244" s="51"/>
      <c r="F244" s="51"/>
      <c r="G244" s="52"/>
      <c r="H244" s="59"/>
      <c r="I244" s="59"/>
    </row>
    <row r="245" spans="1:9" ht="27" customHeight="1">
      <c r="A245" s="75" t="s">
        <v>2</v>
      </c>
      <c r="B245" s="2" t="s">
        <v>7</v>
      </c>
      <c r="C245" s="51">
        <v>1465.357</v>
      </c>
      <c r="D245" s="51">
        <f>D199-D235</f>
        <v>183.10400000000001</v>
      </c>
      <c r="E245" s="51">
        <f>E199-E235</f>
        <v>121.50000000000003</v>
      </c>
      <c r="F245" s="51">
        <f t="shared" ref="F245:I245" si="23">F199-F235</f>
        <v>110.1</v>
      </c>
      <c r="G245" s="51">
        <f t="shared" si="23"/>
        <v>156.99999999999997</v>
      </c>
      <c r="H245" s="51">
        <f t="shared" si="23"/>
        <v>205.8</v>
      </c>
      <c r="I245" s="51">
        <f t="shared" si="23"/>
        <v>178.70000000000002</v>
      </c>
    </row>
    <row r="246" spans="1:9" ht="27" customHeight="1">
      <c r="A246" s="75" t="s">
        <v>14</v>
      </c>
      <c r="B246" s="2" t="s">
        <v>5</v>
      </c>
      <c r="C246" s="51">
        <v>98.8</v>
      </c>
      <c r="D246" s="51">
        <f>D245/1.068/C245*100</f>
        <v>11.699926562871378</v>
      </c>
      <c r="E246" s="51">
        <f>E245/1.055/D245*100</f>
        <v>62.896428683836071</v>
      </c>
      <c r="F246" s="51">
        <f>F245/1.043/E245*100</f>
        <v>86.881384420534289</v>
      </c>
      <c r="G246" s="51">
        <f>G245/1.051/F245*100</f>
        <v>135.67805757416272</v>
      </c>
      <c r="H246" s="52">
        <f>H245/1.053/G245*100</f>
        <v>124.48509263795893</v>
      </c>
      <c r="I246" s="52">
        <f>I245/1.048/H245*100</f>
        <v>82.854843136818516</v>
      </c>
    </row>
    <row r="247" spans="1:9">
      <c r="A247" s="98" t="s">
        <v>90</v>
      </c>
      <c r="B247" s="49"/>
      <c r="C247" s="51"/>
      <c r="D247" s="51"/>
      <c r="E247" s="51"/>
      <c r="F247" s="51"/>
      <c r="G247" s="52"/>
      <c r="H247" s="59"/>
      <c r="I247" s="59"/>
    </row>
    <row r="248" spans="1:9" ht="25.5" customHeight="1">
      <c r="A248" s="75" t="s">
        <v>2</v>
      </c>
      <c r="B248" s="2" t="s">
        <v>89</v>
      </c>
      <c r="C248" s="51">
        <v>0</v>
      </c>
      <c r="D248" s="51">
        <v>0</v>
      </c>
      <c r="E248" s="51"/>
      <c r="F248" s="51"/>
      <c r="G248" s="52"/>
      <c r="H248" s="52"/>
      <c r="I248" s="52"/>
    </row>
    <row r="249" spans="1:9" ht="26.25" customHeight="1">
      <c r="A249" s="75" t="s">
        <v>14</v>
      </c>
      <c r="B249" s="2" t="s">
        <v>5</v>
      </c>
      <c r="C249" s="51"/>
      <c r="D249" s="51"/>
      <c r="E249" s="51"/>
      <c r="F249" s="51"/>
      <c r="G249" s="52"/>
      <c r="H249" s="59"/>
      <c r="I249" s="59"/>
    </row>
    <row r="250" spans="1:9" s="60" customFormat="1" ht="70.5" customHeight="1">
      <c r="A250" s="98" t="s">
        <v>198</v>
      </c>
      <c r="B250" s="49"/>
      <c r="C250" s="51"/>
      <c r="D250" s="51"/>
      <c r="E250" s="51"/>
      <c r="F250" s="51"/>
      <c r="G250" s="52"/>
      <c r="H250" s="59"/>
      <c r="I250" s="59"/>
    </row>
    <row r="251" spans="1:9" s="60" customFormat="1" ht="26.25" customHeight="1">
      <c r="A251" s="75" t="s">
        <v>2</v>
      </c>
      <c r="B251" s="2" t="s">
        <v>7</v>
      </c>
      <c r="C251" s="117">
        <v>2301.145</v>
      </c>
      <c r="D251" s="117">
        <v>497.89699999999999</v>
      </c>
      <c r="E251" s="117">
        <v>514.70000000000005</v>
      </c>
      <c r="F251" s="117">
        <v>511</v>
      </c>
      <c r="G251" s="52">
        <v>530.9</v>
      </c>
      <c r="H251" s="52">
        <v>551.6</v>
      </c>
      <c r="I251" s="52">
        <v>572</v>
      </c>
    </row>
    <row r="252" spans="1:9" s="60" customFormat="1" ht="28.5" customHeight="1">
      <c r="A252" s="75" t="s">
        <v>14</v>
      </c>
      <c r="B252" s="2" t="s">
        <v>5</v>
      </c>
      <c r="C252" s="51">
        <v>110.6</v>
      </c>
      <c r="D252" s="51">
        <f>D251/1.086/C251*100</f>
        <v>19.923502971318861</v>
      </c>
      <c r="E252" s="51">
        <f>E251/1.056/D251*100</f>
        <v>97.892797713242501</v>
      </c>
      <c r="F252" s="51">
        <f>F251/1.031/E251*100</f>
        <v>96.295959885100643</v>
      </c>
      <c r="G252" s="51">
        <f>G251/1.045/F251*100</f>
        <v>99.420406558113839</v>
      </c>
      <c r="H252" s="51">
        <v>99.1</v>
      </c>
      <c r="I252" s="51">
        <v>99.3</v>
      </c>
    </row>
    <row r="253" spans="1:9" s="61" customFormat="1" ht="21" customHeight="1">
      <c r="A253" s="129" t="s">
        <v>61</v>
      </c>
      <c r="B253" s="129"/>
      <c r="C253" s="129"/>
      <c r="D253" s="129"/>
      <c r="E253" s="129"/>
      <c r="F253" s="129"/>
      <c r="G253" s="129"/>
      <c r="H253" s="129"/>
      <c r="I253" s="129"/>
    </row>
    <row r="254" spans="1:9" s="60" customFormat="1" ht="21.95" customHeight="1">
      <c r="A254" s="102" t="s">
        <v>62</v>
      </c>
      <c r="B254" s="39"/>
      <c r="C254" s="39"/>
      <c r="D254" s="39"/>
      <c r="E254" s="39"/>
      <c r="F254" s="39"/>
      <c r="G254" s="39"/>
      <c r="H254" s="39"/>
      <c r="I254" s="39"/>
    </row>
    <row r="255" spans="1:9" s="60" customFormat="1" ht="27" customHeight="1">
      <c r="A255" s="36" t="s">
        <v>2</v>
      </c>
      <c r="B255" s="14" t="s">
        <v>7</v>
      </c>
      <c r="C255" s="32">
        <v>2876.5</v>
      </c>
      <c r="D255" s="39">
        <v>3883.3</v>
      </c>
      <c r="E255" s="31">
        <v>3817.4</v>
      </c>
      <c r="F255" s="31">
        <v>4008.2</v>
      </c>
      <c r="G255" s="31">
        <v>4128.3999999999996</v>
      </c>
      <c r="H255" s="31">
        <v>4252.2</v>
      </c>
      <c r="I255" s="31">
        <v>4379.7</v>
      </c>
    </row>
    <row r="256" spans="1:9" s="60" customFormat="1" ht="25.5" customHeight="1">
      <c r="A256" s="36" t="s">
        <v>14</v>
      </c>
      <c r="B256" s="14" t="s">
        <v>5</v>
      </c>
      <c r="C256" s="39">
        <v>115.4</v>
      </c>
      <c r="D256" s="31">
        <v>128</v>
      </c>
      <c r="E256" s="31">
        <f>E255/106.5*100/D255*100</f>
        <v>92.303276737308636</v>
      </c>
      <c r="F256" s="31">
        <f>F255/106.3*100/E255*100</f>
        <v>98.775321064151413</v>
      </c>
      <c r="G256" s="31">
        <f>G255/104.8*100/F255*100</f>
        <v>98.281347664768148</v>
      </c>
      <c r="H256" s="31">
        <f>H255/104.3*100/G255*100</f>
        <v>98.752387758512626</v>
      </c>
      <c r="I256" s="31">
        <f>I255/104*100/H255*100</f>
        <v>99.03696909834909</v>
      </c>
    </row>
    <row r="257" spans="1:9" s="60" customFormat="1" ht="30" customHeight="1">
      <c r="A257" s="36" t="s">
        <v>63</v>
      </c>
      <c r="B257" s="16" t="s">
        <v>6</v>
      </c>
      <c r="C257" s="62">
        <v>49.5</v>
      </c>
      <c r="D257" s="31">
        <v>48</v>
      </c>
      <c r="E257" s="31">
        <v>48</v>
      </c>
      <c r="F257" s="31">
        <v>48</v>
      </c>
      <c r="G257" s="31">
        <v>48</v>
      </c>
      <c r="H257" s="31">
        <v>48</v>
      </c>
      <c r="I257" s="31">
        <v>48</v>
      </c>
    </row>
    <row r="258" spans="1:9" s="60" customFormat="1" ht="30.75" customHeight="1">
      <c r="A258" s="36" t="s">
        <v>82</v>
      </c>
      <c r="B258" s="16" t="s">
        <v>6</v>
      </c>
      <c r="C258" s="62">
        <v>50.5</v>
      </c>
      <c r="D258" s="31">
        <v>52</v>
      </c>
      <c r="E258" s="31">
        <v>52</v>
      </c>
      <c r="F258" s="31">
        <v>52</v>
      </c>
      <c r="G258" s="31">
        <v>52</v>
      </c>
      <c r="H258" s="31">
        <v>52</v>
      </c>
      <c r="I258" s="31">
        <v>52</v>
      </c>
    </row>
    <row r="259" spans="1:9" s="65" customFormat="1" ht="21.95" customHeight="1">
      <c r="A259" s="102" t="s">
        <v>79</v>
      </c>
      <c r="B259" s="16"/>
      <c r="C259" s="63"/>
      <c r="D259" s="113"/>
      <c r="E259" s="113"/>
      <c r="F259" s="113"/>
      <c r="G259" s="113"/>
      <c r="H259" s="113"/>
      <c r="I259" s="113"/>
    </row>
    <row r="260" spans="1:9" s="60" customFormat="1" ht="27" customHeight="1">
      <c r="A260" s="36" t="s">
        <v>2</v>
      </c>
      <c r="B260" s="14" t="s">
        <v>7</v>
      </c>
      <c r="C260" s="32">
        <v>82.4</v>
      </c>
      <c r="D260" s="31">
        <v>87.1</v>
      </c>
      <c r="E260" s="39">
        <v>84.1</v>
      </c>
      <c r="F260" s="39">
        <v>86.2</v>
      </c>
      <c r="G260" s="39">
        <v>90.5</v>
      </c>
      <c r="H260" s="39">
        <v>90.5</v>
      </c>
      <c r="I260" s="39">
        <v>90.5</v>
      </c>
    </row>
    <row r="261" spans="1:9" s="60" customFormat="1" ht="27" customHeight="1">
      <c r="A261" s="36" t="s">
        <v>14</v>
      </c>
      <c r="B261" s="14" t="s">
        <v>5</v>
      </c>
      <c r="C261" s="31">
        <v>100.9</v>
      </c>
      <c r="D261" s="31">
        <v>100.8</v>
      </c>
      <c r="E261" s="31">
        <f>E260/105.4*100/D260*100</f>
        <v>91.608807516932927</v>
      </c>
      <c r="F261" s="31">
        <f>F260/107.7*100/E260*100</f>
        <v>95.169013322557831</v>
      </c>
      <c r="G261" s="31">
        <f>G260/106.2*100/F260*100</f>
        <v>98.859132836088278</v>
      </c>
      <c r="H261" s="31">
        <f>H260/104.8*100/G260*100</f>
        <v>95.419847328244288</v>
      </c>
      <c r="I261" s="31">
        <f>I260/103.8*100/H260*100</f>
        <v>96.339113680154156</v>
      </c>
    </row>
    <row r="262" spans="1:9" s="60" customFormat="1" ht="21.95" customHeight="1">
      <c r="A262" s="102" t="s">
        <v>64</v>
      </c>
      <c r="B262" s="14"/>
      <c r="C262" s="62"/>
      <c r="D262" s="62"/>
      <c r="E262" s="62"/>
      <c r="F262" s="62"/>
      <c r="G262" s="62"/>
      <c r="H262" s="39"/>
      <c r="I262" s="39"/>
    </row>
    <row r="263" spans="1:9" s="60" customFormat="1" ht="26.25" customHeight="1">
      <c r="A263" s="36" t="s">
        <v>2</v>
      </c>
      <c r="B263" s="14" t="s">
        <v>7</v>
      </c>
      <c r="C263" s="32">
        <f>C267+C270+C273+C276+C279+C282+C291+C294+C297+C300+C303+C305</f>
        <v>752.06220000000008</v>
      </c>
      <c r="D263" s="32">
        <f>D267+D270+D273+D276+D279+D282+D291+D294+D297+D300+D303+D305</f>
        <v>799.58270000000005</v>
      </c>
      <c r="E263" s="32">
        <f>E267+E270+E273+E276+E279+E282+E291+E294+E297+E300+E303+E305</f>
        <v>890.5</v>
      </c>
      <c r="F263" s="32">
        <f>F267+F270+F273+F276+F279+F282+F291+F294+F297+F300+F303+F305</f>
        <v>959.69999999999982</v>
      </c>
      <c r="G263" s="32">
        <f t="shared" ref="G263:I263" si="24">G267+G270+G273+G276+G279+G282+G291+G294+G297+G300+G303+G305</f>
        <v>1019.0000000000001</v>
      </c>
      <c r="H263" s="32">
        <f t="shared" si="24"/>
        <v>1084.5</v>
      </c>
      <c r="I263" s="32">
        <f t="shared" si="24"/>
        <v>1099.1999999999998</v>
      </c>
    </row>
    <row r="264" spans="1:9" s="60" customFormat="1" ht="27" customHeight="1">
      <c r="A264" s="36" t="s">
        <v>14</v>
      </c>
      <c r="B264" s="14" t="s">
        <v>5</v>
      </c>
      <c r="C264" s="62">
        <v>105.1</v>
      </c>
      <c r="D264" s="62">
        <f>D263/1.053*100/C263</f>
        <v>100.96741955268196</v>
      </c>
      <c r="E264" s="62">
        <f>E263/1.076*100/D263</f>
        <v>103.50426922484333</v>
      </c>
      <c r="F264" s="62">
        <f>F263/1.073*100/E263</f>
        <v>100.43887718189252</v>
      </c>
      <c r="G264" s="62">
        <f>G263/1.057*100/F263</f>
        <v>100.45318285269101</v>
      </c>
      <c r="H264" s="62">
        <f>H263/1.056*100/G263</f>
        <v>100.78396823980728</v>
      </c>
      <c r="I264" s="62">
        <f>I263/1.054*100/H263</f>
        <v>96.162678697499601</v>
      </c>
    </row>
    <row r="265" spans="1:9" s="60" customFormat="1" ht="21.95" customHeight="1">
      <c r="A265" s="36" t="s">
        <v>15</v>
      </c>
      <c r="B265" s="14"/>
      <c r="C265" s="62"/>
      <c r="D265" s="62"/>
      <c r="E265" s="62"/>
      <c r="F265" s="62"/>
      <c r="G265" s="62"/>
      <c r="H265" s="39"/>
      <c r="I265" s="39"/>
    </row>
    <row r="266" spans="1:9" s="60" customFormat="1" ht="21.95" customHeight="1">
      <c r="A266" s="103" t="s">
        <v>65</v>
      </c>
      <c r="B266" s="14"/>
      <c r="C266" s="62"/>
      <c r="D266" s="62"/>
      <c r="E266" s="62"/>
      <c r="F266" s="62"/>
      <c r="G266" s="62"/>
      <c r="H266" s="39"/>
      <c r="I266" s="39"/>
    </row>
    <row r="267" spans="1:9" s="60" customFormat="1" ht="27" customHeight="1">
      <c r="A267" s="36" t="s">
        <v>2</v>
      </c>
      <c r="B267" s="14" t="s">
        <v>7</v>
      </c>
      <c r="C267" s="62">
        <v>48</v>
      </c>
      <c r="D267" s="31">
        <v>59</v>
      </c>
      <c r="E267" s="31">
        <v>78.7</v>
      </c>
      <c r="F267" s="31">
        <v>78.7</v>
      </c>
      <c r="G267" s="31">
        <v>81</v>
      </c>
      <c r="H267" s="31">
        <v>83.4</v>
      </c>
      <c r="I267" s="31">
        <v>3</v>
      </c>
    </row>
    <row r="268" spans="1:9" s="60" customFormat="1" ht="24.75" customHeight="1">
      <c r="A268" s="36" t="s">
        <v>14</v>
      </c>
      <c r="B268" s="14" t="s">
        <v>5</v>
      </c>
      <c r="C268" s="62">
        <v>96.2</v>
      </c>
      <c r="D268" s="31">
        <f>D267/105.3*100/C267*100</f>
        <v>116.72997784108897</v>
      </c>
      <c r="E268" s="31">
        <f>E267/107.6*100/D267*100</f>
        <v>123.96824396698381</v>
      </c>
      <c r="F268" s="31">
        <f>F267/107.3*100/E267*100</f>
        <v>93.196644920782845</v>
      </c>
      <c r="G268" s="31">
        <f>G267/105.7*100/F267*100</f>
        <v>97.372271021891919</v>
      </c>
      <c r="H268" s="31">
        <f>H267/105.6*100/G267*100</f>
        <v>97.502805836139174</v>
      </c>
      <c r="I268" s="31">
        <f>I267/105.4*100/H267*100</f>
        <v>3.4128295086890637</v>
      </c>
    </row>
    <row r="269" spans="1:9" s="60" customFormat="1" ht="21.95" customHeight="1">
      <c r="A269" s="103" t="s">
        <v>66</v>
      </c>
      <c r="B269" s="14"/>
      <c r="C269" s="62"/>
      <c r="D269" s="62"/>
      <c r="E269" s="62"/>
      <c r="F269" s="62"/>
      <c r="G269" s="62"/>
      <c r="H269" s="39"/>
      <c r="I269" s="39"/>
    </row>
    <row r="270" spans="1:9" s="60" customFormat="1" ht="27" customHeight="1">
      <c r="A270" s="36" t="s">
        <v>2</v>
      </c>
      <c r="B270" s="14" t="s">
        <v>7</v>
      </c>
      <c r="C270" s="62">
        <f>0+1.5835+0.4311+106.384</f>
        <v>108.3986</v>
      </c>
      <c r="D270" s="62">
        <v>115.4</v>
      </c>
      <c r="E270" s="62">
        <v>124.1</v>
      </c>
      <c r="F270" s="62">
        <v>133.4</v>
      </c>
      <c r="G270" s="62">
        <v>143.4</v>
      </c>
      <c r="H270" s="62">
        <v>154.1</v>
      </c>
      <c r="I270" s="62">
        <v>165.7</v>
      </c>
    </row>
    <row r="271" spans="1:9" s="60" customFormat="1" ht="25.5" customHeight="1">
      <c r="A271" s="36" t="s">
        <v>14</v>
      </c>
      <c r="B271" s="14" t="s">
        <v>5</v>
      </c>
      <c r="C271" s="62">
        <v>99.9</v>
      </c>
      <c r="D271" s="62">
        <f>D270/1.053*100/C270</f>
        <v>101.10060731870732</v>
      </c>
      <c r="E271" s="62">
        <f>E270/1.076*100/D270</f>
        <v>99.943303718116383</v>
      </c>
      <c r="F271" s="62">
        <f>F270/1.073*100/E270</f>
        <v>100.18076093821462</v>
      </c>
      <c r="G271" s="62">
        <f>G270/1.057*100/F270</f>
        <v>101.69938682503593</v>
      </c>
      <c r="H271" s="62">
        <f>H270/1.056*100/G270</f>
        <v>101.76292210811037</v>
      </c>
      <c r="I271" s="62">
        <f>I270/1.054*100/H270</f>
        <v>102.01857636986257</v>
      </c>
    </row>
    <row r="272" spans="1:9" s="60" customFormat="1" ht="21.95" customHeight="1">
      <c r="A272" s="103" t="s">
        <v>67</v>
      </c>
      <c r="B272" s="14"/>
      <c r="C272" s="62"/>
      <c r="D272" s="62"/>
      <c r="E272" s="62"/>
      <c r="F272" s="62"/>
      <c r="G272" s="62"/>
      <c r="H272" s="39"/>
      <c r="I272" s="39"/>
    </row>
    <row r="273" spans="1:9" s="60" customFormat="1" ht="26.25" customHeight="1">
      <c r="A273" s="36" t="s">
        <v>2</v>
      </c>
      <c r="B273" s="14" t="s">
        <v>7</v>
      </c>
      <c r="C273" s="62">
        <f>69.142+13+14.047+0.72</f>
        <v>96.908999999999992</v>
      </c>
      <c r="D273" s="62">
        <v>98.8</v>
      </c>
      <c r="E273" s="62">
        <v>103</v>
      </c>
      <c r="F273" s="62">
        <v>103.5</v>
      </c>
      <c r="G273" s="62">
        <v>104.1</v>
      </c>
      <c r="H273" s="62">
        <v>105.2</v>
      </c>
      <c r="I273" s="62">
        <v>106.3</v>
      </c>
    </row>
    <row r="274" spans="1:9" s="60" customFormat="1" ht="27" customHeight="1">
      <c r="A274" s="36" t="s">
        <v>14</v>
      </c>
      <c r="B274" s="14" t="s">
        <v>5</v>
      </c>
      <c r="C274" s="62">
        <v>106.5</v>
      </c>
      <c r="D274" s="62">
        <f>D273/1.053*100/C273</f>
        <v>96.819862441906494</v>
      </c>
      <c r="E274" s="62">
        <f>E273/1.076*100/D273</f>
        <v>96.887557756272301</v>
      </c>
      <c r="F274" s="62">
        <f>F273/1.073*100/E273</f>
        <v>93.64905581845656</v>
      </c>
      <c r="G274" s="62">
        <f>G273/1.057*100/F273</f>
        <v>95.155827951681687</v>
      </c>
      <c r="H274" s="62">
        <f>H273/1.056*100/G273</f>
        <v>95.697610106832016</v>
      </c>
      <c r="I274" s="62">
        <f>I273/1.054*100/H273</f>
        <v>95.868716675925839</v>
      </c>
    </row>
    <row r="275" spans="1:9" s="60" customFormat="1" ht="21.95" customHeight="1">
      <c r="A275" s="103" t="s">
        <v>68</v>
      </c>
      <c r="B275" s="14"/>
      <c r="C275" s="62"/>
      <c r="D275" s="62"/>
      <c r="E275" s="62"/>
      <c r="F275" s="62"/>
      <c r="G275" s="62"/>
      <c r="H275" s="39"/>
      <c r="I275" s="39"/>
    </row>
    <row r="276" spans="1:9" s="60" customFormat="1" ht="27" customHeight="1">
      <c r="A276" s="36" t="s">
        <v>2</v>
      </c>
      <c r="B276" s="14" t="s">
        <v>7</v>
      </c>
      <c r="C276" s="62">
        <v>69.400000000000006</v>
      </c>
      <c r="D276" s="39">
        <v>67.7</v>
      </c>
      <c r="E276" s="39">
        <v>88.1</v>
      </c>
      <c r="F276" s="31">
        <v>95.3</v>
      </c>
      <c r="G276" s="39">
        <v>102.6</v>
      </c>
      <c r="H276" s="66">
        <v>109.6</v>
      </c>
      <c r="I276" s="35">
        <v>117.9</v>
      </c>
    </row>
    <row r="277" spans="1:9" s="60" customFormat="1" ht="25.5" customHeight="1">
      <c r="A277" s="36" t="s">
        <v>14</v>
      </c>
      <c r="B277" s="14" t="s">
        <v>5</v>
      </c>
      <c r="C277" s="62">
        <v>105.4</v>
      </c>
      <c r="D277" s="62">
        <f>D276/1.053*100/C276</f>
        <v>92.640486492551815</v>
      </c>
      <c r="E277" s="62">
        <f>E276/1.076*100/D276</f>
        <v>120.94139353039044</v>
      </c>
      <c r="F277" s="62">
        <f>F276/1.073*100/E276</f>
        <v>100.81316981782754</v>
      </c>
      <c r="G277" s="62">
        <f>G276/1.057*100/F276</f>
        <v>101.85432449040574</v>
      </c>
      <c r="H277" s="62">
        <f>H276/1.056*100/G276</f>
        <v>101.15777659637308</v>
      </c>
      <c r="I277" s="62">
        <f>I276/1.054*100/H276</f>
        <v>102.06166290391835</v>
      </c>
    </row>
    <row r="278" spans="1:9" s="60" customFormat="1" ht="21.95" customHeight="1">
      <c r="A278" s="103" t="s">
        <v>69</v>
      </c>
      <c r="B278" s="14"/>
      <c r="C278" s="62"/>
      <c r="D278" s="62"/>
      <c r="E278" s="62"/>
      <c r="F278" s="62"/>
      <c r="G278" s="62"/>
      <c r="H278" s="39"/>
      <c r="I278" s="39"/>
    </row>
    <row r="279" spans="1:9" s="60" customFormat="1" ht="26.25" customHeight="1">
      <c r="A279" s="36" t="s">
        <v>2</v>
      </c>
      <c r="B279" s="14" t="s">
        <v>7</v>
      </c>
      <c r="C279" s="62">
        <v>279.7</v>
      </c>
      <c r="D279" s="39">
        <v>296.10000000000002</v>
      </c>
      <c r="E279" s="39">
        <v>315</v>
      </c>
      <c r="F279" s="39">
        <v>345.8</v>
      </c>
      <c r="G279" s="39">
        <v>371.3</v>
      </c>
      <c r="H279" s="66">
        <v>399.4</v>
      </c>
      <c r="I279" s="39">
        <v>456.6</v>
      </c>
    </row>
    <row r="280" spans="1:9" s="60" customFormat="1" ht="25.5" customHeight="1">
      <c r="A280" s="36" t="s">
        <v>14</v>
      </c>
      <c r="B280" s="14" t="s">
        <v>5</v>
      </c>
      <c r="C280" s="62">
        <v>108.8</v>
      </c>
      <c r="D280" s="62">
        <f>D279/1.053*100/C279</f>
        <v>100.53506657010414</v>
      </c>
      <c r="E280" s="62">
        <f>E279/1.076*100/D279</f>
        <v>98.868939334018819</v>
      </c>
      <c r="F280" s="62">
        <f>F279/1.073*100/E279</f>
        <v>102.30920575748164</v>
      </c>
      <c r="G280" s="62">
        <f>G279/1.057*100/F279</f>
        <v>101.58392123238012</v>
      </c>
      <c r="H280" s="62">
        <f>H279/1.056*100/G279</f>
        <v>101.86364044430297</v>
      </c>
      <c r="I280" s="62">
        <f>I279/1.054*100/H279</f>
        <v>108.46440438646586</v>
      </c>
    </row>
    <row r="281" spans="1:9" s="60" customFormat="1" ht="21.95" customHeight="1">
      <c r="A281" s="103" t="s">
        <v>70</v>
      </c>
      <c r="B281" s="14"/>
      <c r="C281" s="62"/>
      <c r="D281" s="62"/>
      <c r="E281" s="62"/>
      <c r="F281" s="62"/>
      <c r="G281" s="62"/>
      <c r="H281" s="39"/>
      <c r="I281" s="39"/>
    </row>
    <row r="282" spans="1:9" s="60" customFormat="1" ht="27.75" customHeight="1">
      <c r="A282" s="36" t="s">
        <v>2</v>
      </c>
      <c r="B282" s="14" t="s">
        <v>7</v>
      </c>
      <c r="C282" s="62">
        <v>2.9870999999999999</v>
      </c>
      <c r="D282" s="62">
        <v>3.1</v>
      </c>
      <c r="E282" s="39">
        <v>2.7</v>
      </c>
      <c r="F282" s="39">
        <v>2.8</v>
      </c>
      <c r="G282" s="31">
        <v>3</v>
      </c>
      <c r="H282" s="39">
        <v>3.2</v>
      </c>
      <c r="I282" s="39">
        <v>3.2</v>
      </c>
    </row>
    <row r="283" spans="1:9" s="60" customFormat="1" ht="25.5" customHeight="1">
      <c r="A283" s="36" t="s">
        <v>14</v>
      </c>
      <c r="B283" s="14" t="s">
        <v>5</v>
      </c>
      <c r="C283" s="62">
        <v>101.1</v>
      </c>
      <c r="D283" s="62">
        <f>D282/1.053*100/C282</f>
        <v>98.556111634571252</v>
      </c>
      <c r="E283" s="62">
        <f>E282/1.076*100/D282</f>
        <v>80.944957428948328</v>
      </c>
      <c r="F283" s="62">
        <f>F282/1.073*100/E282</f>
        <v>96.648372510441462</v>
      </c>
      <c r="G283" s="62">
        <f>G282/1.057*100/F282</f>
        <v>101.36504933099069</v>
      </c>
      <c r="H283" s="62">
        <f>H282/1.056*100/G282</f>
        <v>101.010101010101</v>
      </c>
      <c r="I283" s="62">
        <f>I282/1.054*100/H282</f>
        <v>94.876660341555976</v>
      </c>
    </row>
    <row r="284" spans="1:9" s="60" customFormat="1" ht="21.95" hidden="1" customHeight="1">
      <c r="A284" s="103" t="s">
        <v>71</v>
      </c>
      <c r="B284" s="14"/>
      <c r="C284" s="62"/>
      <c r="D284" s="62"/>
      <c r="E284" s="62"/>
      <c r="F284" s="62"/>
      <c r="G284" s="62"/>
      <c r="H284" s="39"/>
      <c r="I284" s="39"/>
    </row>
    <row r="285" spans="1:9" s="60" customFormat="1" ht="21.95" hidden="1" customHeight="1">
      <c r="A285" s="36" t="s">
        <v>2</v>
      </c>
      <c r="B285" s="14" t="s">
        <v>7</v>
      </c>
      <c r="C285" s="62">
        <v>0</v>
      </c>
      <c r="D285" s="62">
        <v>0</v>
      </c>
      <c r="E285" s="62"/>
      <c r="F285" s="62"/>
      <c r="G285" s="62"/>
      <c r="H285" s="62"/>
      <c r="I285" s="62"/>
    </row>
    <row r="286" spans="1:9" s="60" customFormat="1" ht="21.95" hidden="1" customHeight="1">
      <c r="A286" s="36" t="s">
        <v>14</v>
      </c>
      <c r="B286" s="14" t="s">
        <v>5</v>
      </c>
      <c r="C286" s="62"/>
      <c r="D286" s="62"/>
      <c r="E286" s="62"/>
      <c r="F286" s="62"/>
      <c r="G286" s="62"/>
      <c r="H286" s="39"/>
      <c r="I286" s="39"/>
    </row>
    <row r="287" spans="1:9" s="60" customFormat="1" ht="21.95" hidden="1" customHeight="1">
      <c r="A287" s="103" t="s">
        <v>72</v>
      </c>
      <c r="B287" s="14"/>
      <c r="C287" s="62"/>
      <c r="D287" s="62"/>
      <c r="E287" s="62"/>
      <c r="F287" s="62"/>
      <c r="G287" s="62"/>
      <c r="H287" s="39"/>
      <c r="I287" s="39"/>
    </row>
    <row r="288" spans="1:9" s="60" customFormat="1" ht="21.95" hidden="1" customHeight="1">
      <c r="A288" s="36" t="s">
        <v>2</v>
      </c>
      <c r="B288" s="14" t="s">
        <v>7</v>
      </c>
      <c r="C288" s="62">
        <v>0</v>
      </c>
      <c r="D288" s="62">
        <v>0</v>
      </c>
      <c r="E288" s="62"/>
      <c r="F288" s="62"/>
      <c r="G288" s="62"/>
      <c r="H288" s="62"/>
      <c r="I288" s="62"/>
    </row>
    <row r="289" spans="1:9" s="60" customFormat="1" ht="21.95" hidden="1" customHeight="1">
      <c r="A289" s="36" t="s">
        <v>14</v>
      </c>
      <c r="B289" s="14" t="s">
        <v>5</v>
      </c>
      <c r="C289" s="62"/>
      <c r="D289" s="62"/>
      <c r="E289" s="62"/>
      <c r="F289" s="62"/>
      <c r="G289" s="62"/>
      <c r="H289" s="39"/>
      <c r="I289" s="39"/>
    </row>
    <row r="290" spans="1:9" s="60" customFormat="1" ht="21.95" customHeight="1">
      <c r="A290" s="103" t="s">
        <v>73</v>
      </c>
      <c r="B290" s="14"/>
      <c r="C290" s="62"/>
      <c r="D290" s="62"/>
      <c r="E290" s="62"/>
      <c r="F290" s="62"/>
      <c r="G290" s="62"/>
      <c r="H290" s="39"/>
      <c r="I290" s="39"/>
    </row>
    <row r="291" spans="1:9" s="60" customFormat="1" ht="26.25" customHeight="1">
      <c r="A291" s="36" t="s">
        <v>2</v>
      </c>
      <c r="B291" s="14" t="s">
        <v>7</v>
      </c>
      <c r="C291" s="62">
        <f>8.0335+4.2252+1</f>
        <v>13.258700000000001</v>
      </c>
      <c r="D291" s="62">
        <v>17.7</v>
      </c>
      <c r="E291" s="62">
        <v>18</v>
      </c>
      <c r="F291" s="62">
        <v>19.399999999999999</v>
      </c>
      <c r="G291" s="62">
        <v>20.5</v>
      </c>
      <c r="H291" s="62">
        <v>21.7</v>
      </c>
      <c r="I291" s="62">
        <v>19.8</v>
      </c>
    </row>
    <row r="292" spans="1:9" s="60" customFormat="1" ht="25.5" customHeight="1">
      <c r="A292" s="36" t="s">
        <v>14</v>
      </c>
      <c r="B292" s="14" t="s">
        <v>5</v>
      </c>
      <c r="C292" s="62">
        <v>76.900000000000006</v>
      </c>
      <c r="D292" s="62">
        <f>D291/1.053*100/C291</f>
        <v>126.77801601300887</v>
      </c>
      <c r="E292" s="62">
        <f>E291/1.076*100/D291</f>
        <v>94.512003024384086</v>
      </c>
      <c r="F292" s="62">
        <f>F291/1.073*100/E291</f>
        <v>100.44527285906595</v>
      </c>
      <c r="G292" s="62">
        <f>G291/1.057*100/F291</f>
        <v>99.971715319568119</v>
      </c>
      <c r="H292" s="62">
        <f>H291/1.056*100/G291</f>
        <v>100.240206947524</v>
      </c>
      <c r="I292" s="62">
        <f>I291/1.054*100/H291</f>
        <v>86.569487316258446</v>
      </c>
    </row>
    <row r="293" spans="1:9" s="60" customFormat="1" ht="21.95" customHeight="1">
      <c r="A293" s="103" t="s">
        <v>74</v>
      </c>
      <c r="B293" s="14"/>
      <c r="C293" s="62"/>
      <c r="D293" s="62"/>
      <c r="E293" s="62"/>
      <c r="F293" s="62"/>
      <c r="G293" s="62"/>
      <c r="H293" s="39"/>
      <c r="I293" s="39"/>
    </row>
    <row r="294" spans="1:9" s="60" customFormat="1" ht="27" customHeight="1">
      <c r="A294" s="36" t="s">
        <v>2</v>
      </c>
      <c r="B294" s="14" t="s">
        <v>7</v>
      </c>
      <c r="C294" s="62">
        <f>68.945</f>
        <v>68.944999999999993</v>
      </c>
      <c r="D294" s="62">
        <v>78.168000000000006</v>
      </c>
      <c r="E294" s="62">
        <v>85.6</v>
      </c>
      <c r="F294" s="62">
        <v>93.3</v>
      </c>
      <c r="G294" s="62">
        <v>101.5</v>
      </c>
      <c r="H294" s="62">
        <v>110.6</v>
      </c>
      <c r="I294" s="62">
        <v>120.5</v>
      </c>
    </row>
    <row r="295" spans="1:9" s="60" customFormat="1" ht="26.25" customHeight="1">
      <c r="A295" s="36" t="s">
        <v>14</v>
      </c>
      <c r="B295" s="14" t="s">
        <v>5</v>
      </c>
      <c r="C295" s="62">
        <v>110.2</v>
      </c>
      <c r="D295" s="62">
        <f>D294/1.053*100/C294</f>
        <v>107.67077849534883</v>
      </c>
      <c r="E295" s="62">
        <f>E294/1.076*100/D294</f>
        <v>101.77298043409692</v>
      </c>
      <c r="F295" s="62">
        <f>F294/1.073*100/E294</f>
        <v>101.5799879802458</v>
      </c>
      <c r="G295" s="62">
        <f>G294/1.057*100/F294</f>
        <v>102.92228302918024</v>
      </c>
      <c r="H295" s="62">
        <f>H294/1.056*100/G294</f>
        <v>103.18704284221523</v>
      </c>
      <c r="I295" s="62">
        <f>I294/1.054*100/H294</f>
        <v>103.36923662891044</v>
      </c>
    </row>
    <row r="296" spans="1:9" s="60" customFormat="1" ht="21.95" customHeight="1">
      <c r="A296" s="103" t="s">
        <v>75</v>
      </c>
      <c r="B296" s="14"/>
      <c r="C296" s="62"/>
      <c r="D296" s="62"/>
      <c r="E296" s="62"/>
      <c r="F296" s="62"/>
      <c r="G296" s="62"/>
      <c r="H296" s="39"/>
      <c r="I296" s="39"/>
    </row>
    <row r="297" spans="1:9" s="60" customFormat="1" ht="27" customHeight="1">
      <c r="A297" s="36" t="s">
        <v>2</v>
      </c>
      <c r="B297" s="14" t="s">
        <v>7</v>
      </c>
      <c r="C297" s="62">
        <v>2.3218000000000001</v>
      </c>
      <c r="D297" s="62">
        <v>2.6</v>
      </c>
      <c r="E297" s="32">
        <v>3</v>
      </c>
      <c r="F297" s="32">
        <v>3.3</v>
      </c>
      <c r="G297" s="32">
        <v>3.5</v>
      </c>
      <c r="H297" s="32">
        <v>3.7</v>
      </c>
      <c r="I297" s="32">
        <v>3.9</v>
      </c>
    </row>
    <row r="298" spans="1:9" s="60" customFormat="1" ht="25.5" customHeight="1">
      <c r="A298" s="36" t="s">
        <v>14</v>
      </c>
      <c r="B298" s="14" t="s">
        <v>5</v>
      </c>
      <c r="C298" s="62">
        <v>124.6</v>
      </c>
      <c r="D298" s="62">
        <f>D297/1.053*100/C297</f>
        <v>106.34575770820639</v>
      </c>
      <c r="E298" s="62">
        <f>E297/1.076*100/D297</f>
        <v>107.23477266228194</v>
      </c>
      <c r="F298" s="62">
        <f>F297/1.073*100/E297</f>
        <v>102.51630941286113</v>
      </c>
      <c r="G298" s="62">
        <f>G297/1.057*100/F297</f>
        <v>100.34115994380896</v>
      </c>
      <c r="H298" s="62">
        <f>H297/1.056*100/G297</f>
        <v>100.10822510822511</v>
      </c>
      <c r="I298" s="62">
        <f>I297/1.054*100/H297</f>
        <v>100.00512846812656</v>
      </c>
    </row>
    <row r="299" spans="1:9" s="60" customFormat="1" ht="21.95" customHeight="1">
      <c r="A299" s="103" t="s">
        <v>76</v>
      </c>
      <c r="B299" s="14"/>
      <c r="C299" s="62"/>
      <c r="D299" s="62"/>
      <c r="E299" s="62"/>
      <c r="F299" s="62"/>
      <c r="G299" s="62"/>
      <c r="H299" s="39"/>
      <c r="I299" s="39"/>
    </row>
    <row r="300" spans="1:9" s="60" customFormat="1" ht="26.25" customHeight="1">
      <c r="A300" s="36" t="s">
        <v>2</v>
      </c>
      <c r="B300" s="14" t="s">
        <v>7</v>
      </c>
      <c r="C300" s="62">
        <v>0.1</v>
      </c>
      <c r="D300" s="62">
        <v>0.3</v>
      </c>
      <c r="E300" s="62">
        <v>0.4</v>
      </c>
      <c r="F300" s="62">
        <v>0.4</v>
      </c>
      <c r="G300" s="62">
        <v>0.4</v>
      </c>
      <c r="H300" s="62">
        <v>0.4</v>
      </c>
      <c r="I300" s="62">
        <v>0.4</v>
      </c>
    </row>
    <row r="301" spans="1:9" s="60" customFormat="1" ht="26.25" customHeight="1">
      <c r="A301" s="36" t="s">
        <v>14</v>
      </c>
      <c r="B301" s="14" t="s">
        <v>5</v>
      </c>
      <c r="C301" s="62"/>
      <c r="D301" s="62">
        <f>D300/1.053*100/C300</f>
        <v>284.90028490028487</v>
      </c>
      <c r="E301" s="62">
        <f>E300/1.076*100/D300</f>
        <v>123.91573729863693</v>
      </c>
      <c r="F301" s="62">
        <f>F300/1.073*100/E300</f>
        <v>93.196644920782859</v>
      </c>
      <c r="G301" s="62">
        <f>G300/1.057*100/F300</f>
        <v>94.607379375591307</v>
      </c>
      <c r="H301" s="62">
        <f>H300/1.056*100/G300</f>
        <v>94.696969696969688</v>
      </c>
      <c r="I301" s="62">
        <f>I300/1.054*100/H300</f>
        <v>94.876660341555976</v>
      </c>
    </row>
    <row r="302" spans="1:9" s="60" customFormat="1" ht="21.95" customHeight="1">
      <c r="A302" s="103" t="s">
        <v>77</v>
      </c>
      <c r="B302" s="14"/>
      <c r="C302" s="62"/>
      <c r="D302" s="62"/>
      <c r="E302" s="62"/>
      <c r="F302" s="62"/>
      <c r="G302" s="62"/>
      <c r="H302" s="39"/>
      <c r="I302" s="39"/>
    </row>
    <row r="303" spans="1:9" s="60" customFormat="1" ht="27" customHeight="1">
      <c r="A303" s="36" t="s">
        <v>2</v>
      </c>
      <c r="B303" s="14" t="s">
        <v>7</v>
      </c>
      <c r="C303" s="62">
        <f>37.3051+0.1+10</f>
        <v>47.405100000000004</v>
      </c>
      <c r="D303" s="62">
        <f>43.7695+0.05</f>
        <v>43.819499999999998</v>
      </c>
      <c r="E303" s="32">
        <v>50.6</v>
      </c>
      <c r="F303" s="32">
        <v>54.3</v>
      </c>
      <c r="G303" s="32">
        <v>57.6</v>
      </c>
      <c r="H303" s="67">
        <v>60.9</v>
      </c>
      <c r="I303" s="67">
        <v>64.599999999999994</v>
      </c>
    </row>
    <row r="304" spans="1:9" s="60" customFormat="1" ht="25.5" customHeight="1">
      <c r="A304" s="36" t="s">
        <v>14</v>
      </c>
      <c r="B304" s="14" t="s">
        <v>5</v>
      </c>
      <c r="C304" s="62">
        <v>102.9</v>
      </c>
      <c r="D304" s="62">
        <f>D303/1.053*100/C303</f>
        <v>87.783719713617543</v>
      </c>
      <c r="E304" s="62">
        <f>E303/1.076*100/D303</f>
        <v>107.31756935800891</v>
      </c>
      <c r="F304" s="62">
        <f>F303/1.073*100/E303</f>
        <v>100.01141935174918</v>
      </c>
      <c r="G304" s="62">
        <f>G303/1.057*100/F303</f>
        <v>100.35699911664935</v>
      </c>
      <c r="H304" s="62">
        <f>H303/1.056*100/G303</f>
        <v>100.1223169191919</v>
      </c>
      <c r="I304" s="62">
        <f>I303/1.054*100/H303</f>
        <v>100.64092377774246</v>
      </c>
    </row>
    <row r="305" spans="1:9" s="60" customFormat="1" ht="27.75" customHeight="1">
      <c r="A305" s="103" t="s">
        <v>78</v>
      </c>
      <c r="B305" s="14" t="s">
        <v>7</v>
      </c>
      <c r="C305" s="62">
        <f>0.0046+12.7423+1.89</f>
        <v>14.636900000000001</v>
      </c>
      <c r="D305" s="62">
        <f>13.3805+1.4576+0.0015+1.274+0.6516+0.13</f>
        <v>16.895199999999996</v>
      </c>
      <c r="E305" s="62">
        <v>21.3</v>
      </c>
      <c r="F305" s="62">
        <v>29.5</v>
      </c>
      <c r="G305" s="62">
        <v>30.1</v>
      </c>
      <c r="H305" s="62">
        <v>32.299999999999997</v>
      </c>
      <c r="I305" s="62">
        <v>37.299999999999997</v>
      </c>
    </row>
    <row r="306" spans="1:9" s="61" customFormat="1" ht="21" customHeight="1">
      <c r="A306" s="129" t="s">
        <v>103</v>
      </c>
      <c r="B306" s="129"/>
      <c r="C306" s="129"/>
      <c r="D306" s="129"/>
      <c r="E306" s="129"/>
      <c r="F306" s="129"/>
      <c r="G306" s="129"/>
      <c r="H306" s="129"/>
      <c r="I306" s="129"/>
    </row>
    <row r="307" spans="1:9" ht="44.25" customHeight="1">
      <c r="A307" s="36" t="s">
        <v>153</v>
      </c>
      <c r="B307" s="16" t="s">
        <v>45</v>
      </c>
      <c r="C307" s="40">
        <f>C309+C310+C311+C312+C313+C314</f>
        <v>14.373000000000001</v>
      </c>
      <c r="D307" s="40">
        <f>D309+D310+D311+D312+D313+D314</f>
        <v>15.078999999999997</v>
      </c>
      <c r="E307" s="40">
        <v>15.472</v>
      </c>
      <c r="F307" s="40">
        <v>15.276999999999999</v>
      </c>
      <c r="G307" s="40">
        <v>15.038500000000001</v>
      </c>
      <c r="H307" s="40">
        <v>14.926500000000001</v>
      </c>
      <c r="I307" s="40">
        <v>14.9565</v>
      </c>
    </row>
    <row r="308" spans="1:9" ht="45" customHeight="1">
      <c r="A308" s="104" t="s">
        <v>154</v>
      </c>
      <c r="B308" s="16" t="s">
        <v>45</v>
      </c>
      <c r="C308" s="40"/>
      <c r="D308" s="40"/>
      <c r="E308" s="40"/>
      <c r="F308" s="40"/>
      <c r="G308" s="40"/>
      <c r="H308" s="40"/>
      <c r="I308" s="40"/>
    </row>
    <row r="309" spans="1:9" ht="17.100000000000001" customHeight="1">
      <c r="A309" s="104" t="s">
        <v>155</v>
      </c>
      <c r="B309" s="16" t="s">
        <v>45</v>
      </c>
      <c r="C309" s="40">
        <v>1.873</v>
      </c>
      <c r="D309" s="40">
        <v>1.7509999999999999</v>
      </c>
      <c r="E309" s="40">
        <v>1.867</v>
      </c>
      <c r="F309" s="40">
        <v>2.8967999999999998</v>
      </c>
      <c r="G309" s="40">
        <v>2.87</v>
      </c>
      <c r="H309" s="40">
        <v>2.8527</v>
      </c>
      <c r="I309" s="40">
        <v>2.8525999999999998</v>
      </c>
    </row>
    <row r="310" spans="1:9" ht="17.100000000000001" customHeight="1">
      <c r="A310" s="104" t="s">
        <v>156</v>
      </c>
      <c r="B310" s="16" t="s">
        <v>45</v>
      </c>
      <c r="C310" s="40">
        <v>3.1059999999999999</v>
      </c>
      <c r="D310" s="40">
        <v>3.262</v>
      </c>
      <c r="E310" s="40">
        <v>3.1219999999999999</v>
      </c>
      <c r="F310" s="40">
        <v>1.865</v>
      </c>
      <c r="G310" s="40">
        <v>1.8309</v>
      </c>
      <c r="H310" s="40">
        <v>1.8157000000000001</v>
      </c>
      <c r="I310" s="40">
        <v>1.8268</v>
      </c>
    </row>
    <row r="311" spans="1:9" ht="30" customHeight="1">
      <c r="A311" s="104" t="s">
        <v>157</v>
      </c>
      <c r="B311" s="16" t="s">
        <v>45</v>
      </c>
      <c r="C311" s="40">
        <v>5.7000000000000002E-2</v>
      </c>
      <c r="D311" s="40">
        <v>5.1999999999999998E-2</v>
      </c>
      <c r="E311" s="40">
        <v>4.1000000000000002E-2</v>
      </c>
      <c r="F311" s="40">
        <v>4.0500000000000001E-2</v>
      </c>
      <c r="G311" s="40">
        <v>0.04</v>
      </c>
      <c r="H311" s="40">
        <v>3.9399999999999998E-2</v>
      </c>
      <c r="I311" s="40">
        <v>0.04</v>
      </c>
    </row>
    <row r="312" spans="1:9" ht="28.5" customHeight="1">
      <c r="A312" s="104" t="s">
        <v>158</v>
      </c>
      <c r="B312" s="16" t="s">
        <v>45</v>
      </c>
      <c r="C312" s="68">
        <v>0.16600000000000001</v>
      </c>
      <c r="D312" s="68">
        <v>0.36199999999999999</v>
      </c>
      <c r="E312" s="68">
        <v>0.90100000000000002</v>
      </c>
      <c r="F312" s="68">
        <v>0.88959999999999995</v>
      </c>
      <c r="G312" s="68">
        <v>0.81</v>
      </c>
      <c r="H312" s="68">
        <v>0.80420000000000003</v>
      </c>
      <c r="I312" s="68">
        <v>0.80349999999999999</v>
      </c>
    </row>
    <row r="313" spans="1:9" ht="29.25" customHeight="1">
      <c r="A313" s="104" t="s">
        <v>159</v>
      </c>
      <c r="B313" s="16" t="s">
        <v>45</v>
      </c>
      <c r="C313" s="68">
        <v>0.16800000000000001</v>
      </c>
      <c r="D313" s="68">
        <v>2.8000000000000001E-2</v>
      </c>
      <c r="E313" s="68">
        <v>0</v>
      </c>
      <c r="F313" s="68">
        <v>0</v>
      </c>
      <c r="G313" s="68">
        <v>0</v>
      </c>
      <c r="H313" s="40">
        <v>0</v>
      </c>
      <c r="I313" s="40">
        <v>0</v>
      </c>
    </row>
    <row r="314" spans="1:9" ht="21.75" customHeight="1">
      <c r="A314" s="104" t="s">
        <v>160</v>
      </c>
      <c r="B314" s="16" t="s">
        <v>45</v>
      </c>
      <c r="C314" s="40">
        <v>9.0030000000000001</v>
      </c>
      <c r="D314" s="40">
        <f>D316+D317+D318</f>
        <v>9.6239999999999988</v>
      </c>
      <c r="E314" s="40">
        <v>9.5410000000000004</v>
      </c>
      <c r="F314" s="40">
        <v>9.5839999999999996</v>
      </c>
      <c r="G314" s="40">
        <v>9.4883000000000006</v>
      </c>
      <c r="H314" s="40">
        <v>9.4146000000000001</v>
      </c>
      <c r="I314" s="40">
        <v>9.4329999999999998</v>
      </c>
    </row>
    <row r="315" spans="1:9" ht="17.100000000000001" customHeight="1">
      <c r="A315" s="104" t="s">
        <v>161</v>
      </c>
      <c r="B315" s="16" t="s">
        <v>45</v>
      </c>
      <c r="C315" s="40"/>
      <c r="D315" s="40"/>
      <c r="E315" s="40"/>
      <c r="F315" s="40"/>
      <c r="G315" s="40"/>
      <c r="H315" s="40"/>
      <c r="I315" s="40"/>
    </row>
    <row r="316" spans="1:9" ht="32.25" customHeight="1">
      <c r="A316" s="104" t="s">
        <v>162</v>
      </c>
      <c r="B316" s="16" t="s">
        <v>45</v>
      </c>
      <c r="C316" s="40">
        <v>3.1E-2</v>
      </c>
      <c r="D316" s="40">
        <v>2.3E-2</v>
      </c>
      <c r="E316" s="40">
        <v>2.3E-2</v>
      </c>
      <c r="F316" s="40">
        <v>3.2500000000000001E-2</v>
      </c>
      <c r="G316" s="40">
        <v>3.5999999999999997E-2</v>
      </c>
      <c r="H316" s="40">
        <v>3.85E-2</v>
      </c>
      <c r="I316" s="40">
        <v>4.2500000000000003E-2</v>
      </c>
    </row>
    <row r="317" spans="1:9" ht="18.75" customHeight="1">
      <c r="A317" s="104" t="s">
        <v>163</v>
      </c>
      <c r="B317" s="16" t="s">
        <v>45</v>
      </c>
      <c r="C317" s="40">
        <v>3.6179999999999999</v>
      </c>
      <c r="D317" s="40">
        <v>3.2909999999999999</v>
      </c>
      <c r="E317" s="40">
        <v>2.7845</v>
      </c>
      <c r="F317" s="40">
        <v>2.9049999999999998</v>
      </c>
      <c r="G317" s="40">
        <v>2.7928000000000002</v>
      </c>
      <c r="H317" s="40">
        <v>2.7010999999999998</v>
      </c>
      <c r="I317" s="40">
        <v>2.7050999999999998</v>
      </c>
    </row>
    <row r="318" spans="1:9" ht="79.5" customHeight="1">
      <c r="A318" s="104" t="s">
        <v>164</v>
      </c>
      <c r="B318" s="16" t="s">
        <v>45</v>
      </c>
      <c r="C318" s="40">
        <v>5.3540000000000001</v>
      </c>
      <c r="D318" s="40">
        <v>6.31</v>
      </c>
      <c r="E318" s="40">
        <v>6.7329999999999997</v>
      </c>
      <c r="F318" s="40">
        <v>6.6459999999999999</v>
      </c>
      <c r="G318" s="40">
        <v>6.6589999999999998</v>
      </c>
      <c r="H318" s="40">
        <v>6.6749999999999998</v>
      </c>
      <c r="I318" s="40">
        <v>6.6849999999999996</v>
      </c>
    </row>
    <row r="319" spans="1:9" ht="32.25" customHeight="1">
      <c r="A319" s="36" t="s">
        <v>165</v>
      </c>
      <c r="B319" s="16" t="s">
        <v>45</v>
      </c>
      <c r="C319" s="40">
        <v>8.3680000000000003</v>
      </c>
      <c r="D319" s="40">
        <v>8.0660000000000007</v>
      </c>
      <c r="E319" s="40">
        <v>8.0820000000000007</v>
      </c>
      <c r="F319" s="40">
        <v>7.9640000000000004</v>
      </c>
      <c r="G319" s="40">
        <v>7.71</v>
      </c>
      <c r="H319" s="40">
        <v>7.58</v>
      </c>
      <c r="I319" s="40">
        <v>7.5949999999999998</v>
      </c>
    </row>
    <row r="320" spans="1:9" ht="45.75" customHeight="1">
      <c r="A320" s="36" t="s">
        <v>171</v>
      </c>
      <c r="B320" s="16" t="s">
        <v>46</v>
      </c>
      <c r="C320" s="69">
        <v>1029</v>
      </c>
      <c r="D320" s="69">
        <v>850</v>
      </c>
      <c r="E320" s="69">
        <v>726</v>
      </c>
      <c r="F320" s="69">
        <v>606</v>
      </c>
      <c r="G320" s="69">
        <v>663</v>
      </c>
      <c r="H320" s="69">
        <v>663</v>
      </c>
      <c r="I320" s="69">
        <v>663</v>
      </c>
    </row>
    <row r="321" spans="1:9" ht="50.25" customHeight="1">
      <c r="A321" s="36" t="s">
        <v>172</v>
      </c>
      <c r="B321" s="16" t="s">
        <v>6</v>
      </c>
      <c r="C321" s="25">
        <v>4.4000000000000004</v>
      </c>
      <c r="D321" s="25">
        <v>3.6</v>
      </c>
      <c r="E321" s="25">
        <v>3.3</v>
      </c>
      <c r="F321" s="25">
        <v>2.7</v>
      </c>
      <c r="G321" s="25">
        <v>3</v>
      </c>
      <c r="H321" s="25">
        <v>3</v>
      </c>
      <c r="I321" s="25">
        <v>3</v>
      </c>
    </row>
    <row r="322" spans="1:9" s="60" customFormat="1" ht="26.25" customHeight="1">
      <c r="A322" s="36" t="s">
        <v>173</v>
      </c>
      <c r="B322" s="14" t="s">
        <v>33</v>
      </c>
      <c r="C322" s="122">
        <v>2313027.6</v>
      </c>
      <c r="D322" s="122">
        <v>2556695.1</v>
      </c>
      <c r="E322" s="122">
        <v>2971381.5</v>
      </c>
      <c r="F322" s="122">
        <v>3152517</v>
      </c>
      <c r="G322" s="122">
        <v>3289093</v>
      </c>
      <c r="H322" s="122">
        <v>3506173</v>
      </c>
      <c r="I322" s="122">
        <v>3779654</v>
      </c>
    </row>
    <row r="323" spans="1:9" ht="43.5" customHeight="1">
      <c r="A323" s="36" t="s">
        <v>100</v>
      </c>
      <c r="B323" s="16" t="s">
        <v>47</v>
      </c>
      <c r="C323" s="25">
        <f>C322/C319/12</f>
        <v>23034.452676864243</v>
      </c>
      <c r="D323" s="25">
        <f>D322/D319/12</f>
        <v>26414.3224646665</v>
      </c>
      <c r="E323" s="25">
        <v>30637.8</v>
      </c>
      <c r="F323" s="25">
        <f t="shared" ref="F323:I323" si="25">F322/F319/12</f>
        <v>32987.160974384729</v>
      </c>
      <c r="G323" s="25">
        <f t="shared" si="25"/>
        <v>35550.075659316906</v>
      </c>
      <c r="H323" s="25">
        <f t="shared" si="25"/>
        <v>38546.317062445029</v>
      </c>
      <c r="I323" s="25">
        <f t="shared" si="25"/>
        <v>41470.858020627609</v>
      </c>
    </row>
    <row r="324" spans="1:9" s="61" customFormat="1" ht="21" customHeight="1">
      <c r="A324" s="129" t="s">
        <v>43</v>
      </c>
      <c r="B324" s="129"/>
      <c r="C324" s="129"/>
      <c r="D324" s="129"/>
      <c r="E324" s="129"/>
      <c r="F324" s="129"/>
      <c r="G324" s="129"/>
      <c r="H324" s="129"/>
      <c r="I324" s="129"/>
    </row>
    <row r="325" spans="1:9" s="60" customFormat="1" ht="27" customHeight="1">
      <c r="A325" s="75" t="s">
        <v>128</v>
      </c>
      <c r="B325" s="2" t="s">
        <v>7</v>
      </c>
      <c r="C325" s="50">
        <v>6.3920000000000003</v>
      </c>
      <c r="D325" s="51">
        <v>10.433</v>
      </c>
      <c r="E325" s="50">
        <v>8.6999999999999993</v>
      </c>
      <c r="F325" s="50">
        <v>8.6</v>
      </c>
      <c r="G325" s="50">
        <v>9.3000000000000007</v>
      </c>
      <c r="H325" s="50">
        <v>6.4</v>
      </c>
      <c r="I325" s="50">
        <v>12</v>
      </c>
    </row>
    <row r="326" spans="1:9" s="60" customFormat="1" ht="30" customHeight="1">
      <c r="A326" s="75" t="s">
        <v>44</v>
      </c>
      <c r="B326" s="2" t="s">
        <v>7</v>
      </c>
      <c r="C326" s="50">
        <v>-6.1829999999999998</v>
      </c>
      <c r="D326" s="50">
        <v>-4.9279999999999999</v>
      </c>
      <c r="E326" s="50">
        <v>-8.1999999999999993</v>
      </c>
      <c r="F326" s="50">
        <v>6.2</v>
      </c>
      <c r="G326" s="50">
        <v>7.6</v>
      </c>
      <c r="H326" s="50">
        <v>6.4</v>
      </c>
      <c r="I326" s="50">
        <v>12</v>
      </c>
    </row>
    <row r="327" spans="1:9" s="70" customFormat="1" ht="21" customHeight="1">
      <c r="A327" s="129" t="s">
        <v>104</v>
      </c>
      <c r="B327" s="129"/>
      <c r="C327" s="129"/>
      <c r="D327" s="129"/>
      <c r="E327" s="129"/>
      <c r="F327" s="129"/>
      <c r="G327" s="129"/>
      <c r="H327" s="129"/>
      <c r="I327" s="129"/>
    </row>
    <row r="328" spans="1:9" ht="18" customHeight="1">
      <c r="A328" s="75" t="s">
        <v>193</v>
      </c>
      <c r="B328" s="1" t="s">
        <v>38</v>
      </c>
      <c r="C328" s="57">
        <v>243</v>
      </c>
      <c r="D328" s="57">
        <v>235</v>
      </c>
      <c r="E328" s="59">
        <v>239</v>
      </c>
      <c r="F328" s="59">
        <v>240</v>
      </c>
      <c r="G328" s="59">
        <v>241</v>
      </c>
      <c r="H328" s="59">
        <v>244</v>
      </c>
      <c r="I328" s="59">
        <v>247</v>
      </c>
    </row>
    <row r="329" spans="1:9" ht="27.75" customHeight="1">
      <c r="A329" s="75" t="s">
        <v>234</v>
      </c>
      <c r="B329" s="2" t="s">
        <v>7</v>
      </c>
      <c r="C329" s="9">
        <v>2067.9</v>
      </c>
      <c r="D329" s="9">
        <v>3089.8</v>
      </c>
      <c r="E329" s="71">
        <v>2344.6</v>
      </c>
      <c r="F329" s="71">
        <v>2368</v>
      </c>
      <c r="G329" s="71">
        <v>2391.6999999999998</v>
      </c>
      <c r="H329" s="71">
        <v>2415.6</v>
      </c>
      <c r="I329" s="71">
        <v>2439.8000000000002</v>
      </c>
    </row>
    <row r="330" spans="1:9" ht="45" customHeight="1">
      <c r="A330" s="75" t="s">
        <v>194</v>
      </c>
      <c r="B330" s="1" t="s">
        <v>45</v>
      </c>
      <c r="C330" s="46">
        <v>1.492</v>
      </c>
      <c r="D330" s="46">
        <v>1.3560000000000001</v>
      </c>
      <c r="E330" s="72">
        <v>1.24</v>
      </c>
      <c r="F330" s="72">
        <v>1.2450000000000001</v>
      </c>
      <c r="G330" s="72">
        <v>1.2450000000000001</v>
      </c>
      <c r="H330" s="72">
        <v>1.25</v>
      </c>
      <c r="I330" s="72">
        <v>1.2549999999999999</v>
      </c>
    </row>
    <row r="331" spans="1:9" s="61" customFormat="1" ht="21" customHeight="1">
      <c r="A331" s="129" t="s">
        <v>105</v>
      </c>
      <c r="B331" s="129"/>
      <c r="C331" s="129"/>
      <c r="D331" s="129"/>
      <c r="E331" s="129"/>
      <c r="F331" s="129"/>
      <c r="G331" s="129"/>
      <c r="H331" s="129"/>
      <c r="I331" s="129"/>
    </row>
    <row r="332" spans="1:9" ht="17.100000000000001" customHeight="1">
      <c r="A332" s="75" t="s">
        <v>57</v>
      </c>
      <c r="B332" s="49"/>
      <c r="C332" s="48"/>
      <c r="D332" s="48"/>
      <c r="E332" s="48"/>
      <c r="F332" s="48"/>
      <c r="G332" s="48"/>
      <c r="H332" s="48"/>
      <c r="I332" s="48"/>
    </row>
    <row r="333" spans="1:9" ht="43.5" customHeight="1">
      <c r="A333" s="75" t="s">
        <v>191</v>
      </c>
      <c r="B333" s="2" t="s">
        <v>249</v>
      </c>
      <c r="C333" s="50">
        <v>55</v>
      </c>
      <c r="D333" s="50">
        <v>57</v>
      </c>
      <c r="E333" s="50">
        <v>60</v>
      </c>
      <c r="F333" s="50">
        <v>62</v>
      </c>
      <c r="G333" s="50">
        <v>62</v>
      </c>
      <c r="H333" s="50">
        <v>62</v>
      </c>
      <c r="I333" s="50">
        <v>63</v>
      </c>
    </row>
    <row r="334" spans="1:9" ht="36.75" customHeight="1">
      <c r="A334" s="75" t="s">
        <v>175</v>
      </c>
      <c r="B334" s="2" t="s">
        <v>52</v>
      </c>
      <c r="C334" s="50">
        <v>73.599999999999994</v>
      </c>
      <c r="D334" s="50">
        <v>73.400000000000006</v>
      </c>
      <c r="E334" s="50">
        <v>74.400000000000006</v>
      </c>
      <c r="F334" s="50">
        <v>65</v>
      </c>
      <c r="G334" s="50">
        <v>65.5</v>
      </c>
      <c r="H334" s="50">
        <v>66</v>
      </c>
      <c r="I334" s="50">
        <v>66.5</v>
      </c>
    </row>
    <row r="335" spans="1:9" ht="38.25" customHeight="1">
      <c r="A335" s="75" t="s">
        <v>176</v>
      </c>
      <c r="B335" s="2" t="s">
        <v>52</v>
      </c>
      <c r="C335" s="50">
        <v>30.5</v>
      </c>
      <c r="D335" s="50">
        <v>32.1</v>
      </c>
      <c r="E335" s="50">
        <v>32.5</v>
      </c>
      <c r="F335" s="50">
        <v>37.6</v>
      </c>
      <c r="G335" s="50">
        <v>37.9</v>
      </c>
      <c r="H335" s="50">
        <v>38.200000000000003</v>
      </c>
      <c r="I335" s="50">
        <v>38.5</v>
      </c>
    </row>
    <row r="336" spans="1:9" ht="39" customHeight="1">
      <c r="A336" s="75" t="s">
        <v>177</v>
      </c>
      <c r="B336" s="2" t="s">
        <v>52</v>
      </c>
      <c r="C336" s="50">
        <v>2</v>
      </c>
      <c r="D336" s="50">
        <v>1.3</v>
      </c>
      <c r="E336" s="50">
        <v>1.3</v>
      </c>
      <c r="F336" s="50">
        <v>1.3</v>
      </c>
      <c r="G336" s="50">
        <v>1.3</v>
      </c>
      <c r="H336" s="50">
        <v>1.3</v>
      </c>
      <c r="I336" s="50">
        <v>1.3</v>
      </c>
    </row>
    <row r="337" spans="1:9" ht="50.25" customHeight="1">
      <c r="A337" s="75" t="s">
        <v>178</v>
      </c>
      <c r="B337" s="2" t="s">
        <v>53</v>
      </c>
      <c r="C337" s="50">
        <v>256.2</v>
      </c>
      <c r="D337" s="50">
        <v>260.60000000000002</v>
      </c>
      <c r="E337" s="50">
        <v>231</v>
      </c>
      <c r="F337" s="50">
        <v>232.7</v>
      </c>
      <c r="G337" s="50">
        <v>234.5</v>
      </c>
      <c r="H337" s="9">
        <v>236.4</v>
      </c>
      <c r="I337" s="9">
        <v>238.2</v>
      </c>
    </row>
    <row r="338" spans="1:9" ht="38.25" customHeight="1">
      <c r="A338" s="75" t="s">
        <v>179</v>
      </c>
      <c r="B338" s="2" t="s">
        <v>54</v>
      </c>
      <c r="C338" s="50">
        <v>33.5</v>
      </c>
      <c r="D338" s="50">
        <v>33.6</v>
      </c>
      <c r="E338" s="50">
        <v>31.6</v>
      </c>
      <c r="F338" s="50">
        <v>31.8</v>
      </c>
      <c r="G338" s="50">
        <v>32.6</v>
      </c>
      <c r="H338" s="46">
        <v>33.1</v>
      </c>
      <c r="I338" s="46">
        <v>33.6</v>
      </c>
    </row>
    <row r="339" spans="1:9" ht="38.25" customHeight="1">
      <c r="A339" s="75" t="s">
        <v>180</v>
      </c>
      <c r="B339" s="2" t="s">
        <v>54</v>
      </c>
      <c r="C339" s="50">
        <v>132.5</v>
      </c>
      <c r="D339" s="50">
        <v>137.1</v>
      </c>
      <c r="E339" s="50">
        <v>133.80000000000001</v>
      </c>
      <c r="F339" s="50">
        <v>136.9</v>
      </c>
      <c r="G339" s="50">
        <v>137.9</v>
      </c>
      <c r="H339" s="46">
        <v>139</v>
      </c>
      <c r="I339" s="46">
        <v>140.1</v>
      </c>
    </row>
    <row r="340" spans="1:9" ht="36.75" customHeight="1">
      <c r="A340" s="75" t="s">
        <v>181</v>
      </c>
      <c r="B340" s="2" t="s">
        <v>55</v>
      </c>
      <c r="C340" s="73">
        <v>19.7</v>
      </c>
      <c r="D340" s="73">
        <v>20.100000000000001</v>
      </c>
      <c r="E340" s="73">
        <v>20.399999999999999</v>
      </c>
      <c r="F340" s="73">
        <v>20.5</v>
      </c>
      <c r="G340" s="73">
        <v>20.6</v>
      </c>
      <c r="H340" s="74">
        <v>20.8</v>
      </c>
      <c r="I340" s="74">
        <v>20.9</v>
      </c>
    </row>
    <row r="341" spans="1:9" ht="18" customHeight="1">
      <c r="A341" s="75" t="s">
        <v>182</v>
      </c>
      <c r="B341" s="2" t="s">
        <v>38</v>
      </c>
      <c r="C341" s="73">
        <v>8</v>
      </c>
      <c r="D341" s="73">
        <v>8</v>
      </c>
      <c r="E341" s="73">
        <v>8</v>
      </c>
      <c r="F341" s="73">
        <v>8</v>
      </c>
      <c r="G341" s="73">
        <v>8</v>
      </c>
      <c r="H341" s="73">
        <v>8</v>
      </c>
      <c r="I341" s="73">
        <v>8</v>
      </c>
    </row>
    <row r="342" spans="1:9" ht="18" customHeight="1">
      <c r="A342" s="75" t="s">
        <v>183</v>
      </c>
      <c r="B342" s="2" t="s">
        <v>38</v>
      </c>
      <c r="C342" s="73">
        <v>10</v>
      </c>
      <c r="D342" s="73">
        <v>18</v>
      </c>
      <c r="E342" s="73">
        <v>18</v>
      </c>
      <c r="F342" s="73">
        <v>18</v>
      </c>
      <c r="G342" s="73">
        <v>18</v>
      </c>
      <c r="H342" s="73">
        <v>18</v>
      </c>
      <c r="I342" s="73">
        <v>18</v>
      </c>
    </row>
    <row r="343" spans="1:9" ht="26.25" customHeight="1">
      <c r="A343" s="75" t="s">
        <v>184</v>
      </c>
      <c r="B343" s="2" t="s">
        <v>97</v>
      </c>
      <c r="C343" s="73">
        <v>1.4</v>
      </c>
      <c r="D343" s="73">
        <v>1.4</v>
      </c>
      <c r="E343" s="73">
        <v>1.4</v>
      </c>
      <c r="F343" s="73">
        <v>1.5</v>
      </c>
      <c r="G343" s="73">
        <v>1.5</v>
      </c>
      <c r="H343" s="73">
        <v>1.5</v>
      </c>
      <c r="I343" s="73">
        <v>1.5</v>
      </c>
    </row>
    <row r="344" spans="1:9" ht="28.5" customHeight="1">
      <c r="A344" s="75" t="s">
        <v>271</v>
      </c>
      <c r="B344" s="2" t="s">
        <v>98</v>
      </c>
      <c r="C344" s="73">
        <v>9388.4</v>
      </c>
      <c r="D344" s="73">
        <v>9553.1</v>
      </c>
      <c r="E344" s="73">
        <v>9886.2999999999993</v>
      </c>
      <c r="F344" s="73">
        <v>9962.1</v>
      </c>
      <c r="G344" s="73">
        <v>10039.200000000001</v>
      </c>
      <c r="H344" s="74">
        <v>10117.4</v>
      </c>
      <c r="I344" s="74">
        <v>10460.700000000001</v>
      </c>
    </row>
    <row r="345" spans="1:9" ht="51.75" customHeight="1">
      <c r="A345" s="75" t="s">
        <v>185</v>
      </c>
      <c r="B345" s="2" t="s">
        <v>99</v>
      </c>
      <c r="C345" s="73">
        <v>49.286999999999999</v>
      </c>
      <c r="D345" s="73">
        <v>50.1</v>
      </c>
      <c r="E345" s="73">
        <v>50.9</v>
      </c>
      <c r="F345" s="73">
        <v>51.2</v>
      </c>
      <c r="G345" s="73">
        <v>51.5</v>
      </c>
      <c r="H345" s="74">
        <v>51.9</v>
      </c>
      <c r="I345" s="74">
        <v>52.4</v>
      </c>
    </row>
    <row r="346" spans="1:9" ht="73.5" customHeight="1">
      <c r="A346" s="75" t="s">
        <v>56</v>
      </c>
      <c r="B346" s="2" t="s">
        <v>6</v>
      </c>
      <c r="C346" s="50">
        <v>81</v>
      </c>
      <c r="D346" s="50">
        <v>81</v>
      </c>
      <c r="E346" s="50">
        <v>82</v>
      </c>
      <c r="F346" s="50">
        <v>79</v>
      </c>
      <c r="G346" s="50">
        <v>71</v>
      </c>
      <c r="H346" s="50">
        <v>72</v>
      </c>
      <c r="I346" s="50">
        <v>72</v>
      </c>
    </row>
    <row r="347" spans="1:9" ht="17.100000000000001" customHeight="1">
      <c r="A347" s="75" t="s">
        <v>15</v>
      </c>
      <c r="B347" s="2"/>
      <c r="C347" s="50"/>
      <c r="D347" s="50"/>
      <c r="E347" s="50"/>
      <c r="F347" s="50"/>
      <c r="G347" s="50"/>
      <c r="H347" s="50"/>
      <c r="I347" s="50"/>
    </row>
    <row r="348" spans="1:9" ht="17.100000000000001" customHeight="1">
      <c r="A348" s="75" t="s">
        <v>186</v>
      </c>
      <c r="B348" s="2" t="s">
        <v>6</v>
      </c>
      <c r="C348" s="50">
        <v>75</v>
      </c>
      <c r="D348" s="50">
        <v>74</v>
      </c>
      <c r="E348" s="50">
        <v>73</v>
      </c>
      <c r="F348" s="50">
        <v>67</v>
      </c>
      <c r="G348" s="50">
        <v>60</v>
      </c>
      <c r="H348" s="50">
        <v>60</v>
      </c>
      <c r="I348" s="50">
        <v>62</v>
      </c>
    </row>
    <row r="349" spans="1:9" ht="18" customHeight="1">
      <c r="A349" s="75" t="s">
        <v>187</v>
      </c>
      <c r="B349" s="2" t="s">
        <v>6</v>
      </c>
      <c r="C349" s="50">
        <v>89</v>
      </c>
      <c r="D349" s="50">
        <v>92</v>
      </c>
      <c r="E349" s="50">
        <v>97</v>
      </c>
      <c r="F349" s="50">
        <v>97</v>
      </c>
      <c r="G349" s="50">
        <v>98</v>
      </c>
      <c r="H349" s="50">
        <v>98</v>
      </c>
      <c r="I349" s="50">
        <v>98</v>
      </c>
    </row>
    <row r="350" spans="1:9" ht="49.5" customHeight="1">
      <c r="A350" s="75" t="s">
        <v>244</v>
      </c>
      <c r="B350" s="2" t="s">
        <v>236</v>
      </c>
      <c r="C350" s="76">
        <f>276/41078*100</f>
        <v>0.67189249720044786</v>
      </c>
      <c r="D350" s="76">
        <v>0.66</v>
      </c>
      <c r="E350" s="76">
        <v>0.66</v>
      </c>
      <c r="F350" s="76">
        <v>0.62</v>
      </c>
      <c r="G350" s="76">
        <v>0.63</v>
      </c>
      <c r="H350" s="76">
        <v>0.62</v>
      </c>
      <c r="I350" s="76">
        <v>0.63</v>
      </c>
    </row>
    <row r="351" spans="1:9" s="77" customFormat="1" ht="23.25" customHeight="1">
      <c r="A351" s="130" t="s">
        <v>208</v>
      </c>
      <c r="B351" s="130"/>
      <c r="C351" s="130"/>
      <c r="D351" s="130"/>
      <c r="E351" s="130"/>
      <c r="F351" s="130"/>
      <c r="G351" s="130"/>
      <c r="H351" s="130"/>
      <c r="I351" s="130"/>
    </row>
    <row r="352" spans="1:9" s="44" customFormat="1" ht="32.25" customHeight="1">
      <c r="A352" s="75" t="s">
        <v>213</v>
      </c>
      <c r="B352" s="2" t="s">
        <v>37</v>
      </c>
      <c r="C352" s="46">
        <v>344.9</v>
      </c>
      <c r="D352" s="46">
        <v>344.9</v>
      </c>
      <c r="E352" s="50">
        <v>353.185</v>
      </c>
      <c r="F352" s="50">
        <v>353.185</v>
      </c>
      <c r="G352" s="50">
        <v>353.185</v>
      </c>
      <c r="H352" s="50">
        <v>353.185</v>
      </c>
      <c r="I352" s="50">
        <v>353.185</v>
      </c>
    </row>
    <row r="353" spans="1:9" s="44" customFormat="1" ht="15" customHeight="1">
      <c r="A353" s="75" t="s">
        <v>214</v>
      </c>
      <c r="B353" s="2"/>
      <c r="C353" s="46"/>
      <c r="D353" s="46"/>
      <c r="E353" s="50"/>
      <c r="F353" s="50"/>
      <c r="G353" s="50"/>
      <c r="H353" s="50"/>
      <c r="I353" s="50"/>
    </row>
    <row r="354" spans="1:9" s="44" customFormat="1" ht="18.75" customHeight="1">
      <c r="A354" s="75" t="s">
        <v>215</v>
      </c>
      <c r="B354" s="2" t="s">
        <v>37</v>
      </c>
      <c r="C354" s="46">
        <v>344.9</v>
      </c>
      <c r="D354" s="46">
        <v>344.9</v>
      </c>
      <c r="E354" s="50">
        <v>353.185</v>
      </c>
      <c r="F354" s="50">
        <v>353.185</v>
      </c>
      <c r="G354" s="50">
        <v>353.185</v>
      </c>
      <c r="H354" s="50">
        <v>353.185</v>
      </c>
      <c r="I354" s="50">
        <v>353.185</v>
      </c>
    </row>
    <row r="355" spans="1:9" s="44" customFormat="1" ht="17.25" customHeight="1">
      <c r="A355" s="75" t="s">
        <v>216</v>
      </c>
      <c r="B355" s="2" t="s">
        <v>37</v>
      </c>
      <c r="C355" s="50">
        <v>0</v>
      </c>
      <c r="D355" s="50">
        <v>0</v>
      </c>
      <c r="E355" s="50">
        <v>0</v>
      </c>
      <c r="F355" s="50">
        <v>0</v>
      </c>
      <c r="G355" s="50">
        <v>0</v>
      </c>
      <c r="H355" s="50">
        <v>0</v>
      </c>
      <c r="I355" s="50">
        <v>0</v>
      </c>
    </row>
    <row r="356" spans="1:9" s="44" customFormat="1" ht="43.5" customHeight="1">
      <c r="A356" s="75" t="s">
        <v>217</v>
      </c>
      <c r="B356" s="2" t="s">
        <v>37</v>
      </c>
      <c r="C356" s="46">
        <v>329.9</v>
      </c>
      <c r="D356" s="46">
        <v>329.9</v>
      </c>
      <c r="E356" s="50">
        <v>251.04599999999999</v>
      </c>
      <c r="F356" s="50">
        <v>251.04599999999999</v>
      </c>
      <c r="G356" s="50">
        <v>251.04599999999999</v>
      </c>
      <c r="H356" s="50">
        <v>251.04599999999999</v>
      </c>
      <c r="I356" s="50">
        <v>251.04599999999999</v>
      </c>
    </row>
    <row r="357" spans="1:9" s="44" customFormat="1" ht="18" customHeight="1">
      <c r="A357" s="75" t="s">
        <v>214</v>
      </c>
      <c r="B357" s="2"/>
      <c r="C357" s="46"/>
      <c r="D357" s="46"/>
      <c r="E357" s="50"/>
      <c r="F357" s="50"/>
      <c r="G357" s="50"/>
      <c r="H357" s="50"/>
      <c r="I357" s="50"/>
    </row>
    <row r="358" spans="1:9" s="44" customFormat="1" ht="17.25" customHeight="1">
      <c r="A358" s="75" t="s">
        <v>215</v>
      </c>
      <c r="B358" s="2" t="s">
        <v>37</v>
      </c>
      <c r="C358" s="46">
        <v>329.9</v>
      </c>
      <c r="D358" s="46">
        <v>329.9</v>
      </c>
      <c r="E358" s="50">
        <v>251.04599999999999</v>
      </c>
      <c r="F358" s="50">
        <v>251.04599999999999</v>
      </c>
      <c r="G358" s="50">
        <v>251.04599999999999</v>
      </c>
      <c r="H358" s="50">
        <v>251.04599999999999</v>
      </c>
      <c r="I358" s="50">
        <v>251.04599999999999</v>
      </c>
    </row>
    <row r="359" spans="1:9" s="44" customFormat="1" ht="16.5" customHeight="1">
      <c r="A359" s="75" t="s">
        <v>216</v>
      </c>
      <c r="B359" s="2" t="s">
        <v>37</v>
      </c>
      <c r="C359" s="50">
        <v>0</v>
      </c>
      <c r="D359" s="50">
        <v>0</v>
      </c>
      <c r="E359" s="50">
        <v>0</v>
      </c>
      <c r="F359" s="50">
        <v>0</v>
      </c>
      <c r="G359" s="50">
        <v>0</v>
      </c>
      <c r="H359" s="50">
        <v>0</v>
      </c>
      <c r="I359" s="50">
        <v>0</v>
      </c>
    </row>
    <row r="360" spans="1:9" s="78" customFormat="1" ht="31.5" customHeight="1">
      <c r="A360" s="75" t="s">
        <v>83</v>
      </c>
      <c r="B360" s="2" t="s">
        <v>37</v>
      </c>
      <c r="C360" s="50">
        <v>0</v>
      </c>
      <c r="D360" s="50">
        <v>1.5</v>
      </c>
      <c r="E360" s="50">
        <v>0</v>
      </c>
      <c r="F360" s="50">
        <v>0</v>
      </c>
      <c r="G360" s="50">
        <v>0</v>
      </c>
      <c r="H360" s="50">
        <v>0</v>
      </c>
      <c r="I360" s="50">
        <v>0</v>
      </c>
    </row>
    <row r="361" spans="1:9" s="61" customFormat="1" ht="21" customHeight="1">
      <c r="A361" s="129" t="s">
        <v>241</v>
      </c>
      <c r="B361" s="129"/>
      <c r="C361" s="129"/>
      <c r="D361" s="129"/>
      <c r="E361" s="129"/>
      <c r="F361" s="129"/>
      <c r="G361" s="129"/>
      <c r="H361" s="129"/>
      <c r="I361" s="129"/>
    </row>
    <row r="362" spans="1:9" ht="37.5" customHeight="1">
      <c r="A362" s="112" t="s">
        <v>48</v>
      </c>
      <c r="B362" s="2" t="s">
        <v>166</v>
      </c>
      <c r="C362" s="79">
        <v>5.42</v>
      </c>
      <c r="D362" s="79">
        <v>6.1219999999999999</v>
      </c>
      <c r="E362" s="79">
        <v>7.7329999999999997</v>
      </c>
      <c r="F362" s="79">
        <v>6.7</v>
      </c>
      <c r="G362" s="79">
        <v>7.2</v>
      </c>
      <c r="H362" s="79">
        <v>7.7</v>
      </c>
      <c r="I362" s="79">
        <v>8</v>
      </c>
    </row>
    <row r="363" spans="1:9" ht="18" customHeight="1">
      <c r="A363" s="112" t="s">
        <v>15</v>
      </c>
      <c r="B363" s="1"/>
      <c r="C363" s="59"/>
      <c r="D363" s="59"/>
      <c r="E363" s="59"/>
      <c r="F363" s="59"/>
      <c r="G363" s="59"/>
      <c r="H363" s="59"/>
      <c r="I363" s="59"/>
    </row>
    <row r="364" spans="1:9" ht="38.25">
      <c r="A364" s="112" t="s">
        <v>167</v>
      </c>
      <c r="B364" s="2" t="s">
        <v>166</v>
      </c>
      <c r="C364" s="54">
        <v>0</v>
      </c>
      <c r="D364" s="54">
        <v>0</v>
      </c>
      <c r="E364" s="54">
        <v>0</v>
      </c>
      <c r="F364" s="54">
        <v>0</v>
      </c>
      <c r="G364" s="54">
        <v>0</v>
      </c>
      <c r="H364" s="54">
        <v>0</v>
      </c>
      <c r="I364" s="54">
        <v>0</v>
      </c>
    </row>
    <row r="365" spans="1:9" ht="44.25" customHeight="1">
      <c r="A365" s="112" t="s">
        <v>168</v>
      </c>
      <c r="B365" s="2" t="s">
        <v>166</v>
      </c>
      <c r="C365" s="79">
        <v>5.1890000000000001</v>
      </c>
      <c r="D365" s="79">
        <v>4.6230000000000002</v>
      </c>
      <c r="E365" s="79">
        <v>6.4160000000000004</v>
      </c>
      <c r="F365" s="79">
        <v>3.95</v>
      </c>
      <c r="G365" s="79">
        <v>4.05</v>
      </c>
      <c r="H365" s="79">
        <v>4.1500000000000004</v>
      </c>
      <c r="I365" s="79">
        <v>4.2</v>
      </c>
    </row>
    <row r="366" spans="1:9" ht="30.75" customHeight="1">
      <c r="A366" s="112" t="s">
        <v>174</v>
      </c>
      <c r="B366" s="2" t="s">
        <v>169</v>
      </c>
      <c r="C366" s="54">
        <v>86</v>
      </c>
      <c r="D366" s="59">
        <v>83.4</v>
      </c>
      <c r="E366" s="35">
        <v>87.5</v>
      </c>
      <c r="F366" s="59">
        <v>84.5</v>
      </c>
      <c r="G366" s="59">
        <v>84</v>
      </c>
      <c r="H366" s="57">
        <v>83.6</v>
      </c>
      <c r="I366" s="59">
        <v>83.1</v>
      </c>
    </row>
    <row r="367" spans="1:9" ht="17.100000000000001" customHeight="1">
      <c r="A367" s="112" t="s">
        <v>15</v>
      </c>
      <c r="B367" s="2"/>
      <c r="C367" s="59"/>
      <c r="D367" s="59"/>
      <c r="E367" s="59"/>
      <c r="F367" s="59"/>
      <c r="G367" s="59"/>
      <c r="H367" s="57"/>
      <c r="I367" s="59"/>
    </row>
    <row r="368" spans="1:9" ht="30" customHeight="1">
      <c r="A368" s="112" t="s">
        <v>170</v>
      </c>
      <c r="B368" s="2" t="s">
        <v>169</v>
      </c>
      <c r="C368" s="59">
        <v>57.8</v>
      </c>
      <c r="D368" s="59">
        <v>57.8</v>
      </c>
      <c r="E368" s="59">
        <v>59.1</v>
      </c>
      <c r="F368" s="59">
        <v>61.4</v>
      </c>
      <c r="G368" s="59">
        <v>62.3</v>
      </c>
      <c r="H368" s="57">
        <v>63.4</v>
      </c>
      <c r="I368" s="57">
        <v>65.400000000000006</v>
      </c>
    </row>
    <row r="369" spans="1:9" ht="30" customHeight="1">
      <c r="A369" s="112" t="s">
        <v>49</v>
      </c>
      <c r="B369" s="2" t="s">
        <v>50</v>
      </c>
      <c r="C369" s="54">
        <f>(1050.3+5.42)/40.153</f>
        <v>26.292431449704882</v>
      </c>
      <c r="D369" s="54">
        <f>(1055.72+D362)/39.592</f>
        <v>26.819610022226716</v>
      </c>
      <c r="E369" s="54">
        <f>(1060.9+E362)/39.142</f>
        <v>27.301440907465125</v>
      </c>
      <c r="F369" s="54">
        <f>(1060.9+E362+F362)/38.942</f>
        <v>27.613707565096814</v>
      </c>
      <c r="G369" s="54">
        <f>(1060.9+E362+F362+G362)/38.7</f>
        <v>27.972428940568477</v>
      </c>
      <c r="H369" s="54">
        <f>(1060.9+F362+G362+E362+H362)/38.4</f>
        <v>28.391484375000005</v>
      </c>
      <c r="I369" s="54">
        <f>(1060.9+E362+H362+G362+F362+I362)/38.1</f>
        <v>28.825013123359582</v>
      </c>
    </row>
    <row r="370" spans="1:9" s="60" customFormat="1" ht="43.5" customHeight="1">
      <c r="A370" s="112" t="s">
        <v>242</v>
      </c>
      <c r="B370" s="2" t="s">
        <v>137</v>
      </c>
      <c r="C370" s="80">
        <v>27</v>
      </c>
      <c r="D370" s="46">
        <v>27</v>
      </c>
      <c r="E370" s="46">
        <v>51</v>
      </c>
      <c r="F370" s="46">
        <v>97</v>
      </c>
      <c r="G370" s="46">
        <v>27</v>
      </c>
      <c r="H370" s="46">
        <v>27</v>
      </c>
      <c r="I370" s="46">
        <v>27</v>
      </c>
    </row>
    <row r="371" spans="1:9" ht="45" customHeight="1">
      <c r="A371" s="112" t="s">
        <v>240</v>
      </c>
      <c r="B371" s="2" t="s">
        <v>166</v>
      </c>
      <c r="C371" s="54">
        <v>0.9</v>
      </c>
      <c r="D371" s="46">
        <v>1.63</v>
      </c>
      <c r="E371" s="46">
        <v>1.63</v>
      </c>
      <c r="F371" s="46">
        <v>3.8</v>
      </c>
      <c r="G371" s="46">
        <v>1.2</v>
      </c>
      <c r="H371" s="46">
        <v>1.2</v>
      </c>
      <c r="I371" s="46">
        <v>1.2</v>
      </c>
    </row>
    <row r="372" spans="1:9" ht="28.5" customHeight="1">
      <c r="A372" s="112" t="s">
        <v>245</v>
      </c>
      <c r="B372" s="2" t="s">
        <v>6</v>
      </c>
      <c r="C372" s="59">
        <v>100</v>
      </c>
      <c r="D372" s="59">
        <v>100</v>
      </c>
      <c r="E372" s="59">
        <v>100</v>
      </c>
      <c r="F372" s="59">
        <v>100</v>
      </c>
      <c r="G372" s="59">
        <v>100</v>
      </c>
      <c r="H372" s="57">
        <v>100</v>
      </c>
      <c r="I372" s="57">
        <v>100</v>
      </c>
    </row>
    <row r="373" spans="1:9" s="60" customFormat="1" ht="36.75" customHeight="1">
      <c r="A373" s="112" t="s">
        <v>192</v>
      </c>
      <c r="B373" s="2" t="s">
        <v>195</v>
      </c>
      <c r="C373" s="54">
        <v>0</v>
      </c>
      <c r="D373" s="59">
        <v>2.9999999999999997E-4</v>
      </c>
      <c r="E373" s="54">
        <v>0</v>
      </c>
      <c r="F373" s="81">
        <v>1.5999999999999999E-5</v>
      </c>
      <c r="G373" s="82">
        <v>1.4999999999999999E-4</v>
      </c>
      <c r="H373" s="57">
        <v>2.9999999999999997E-4</v>
      </c>
      <c r="I373" s="57">
        <v>5.9999999999999995E-4</v>
      </c>
    </row>
    <row r="374" spans="1:9" ht="28.5" customHeight="1">
      <c r="A374" s="112" t="s">
        <v>51</v>
      </c>
      <c r="B374" s="110" t="s">
        <v>7</v>
      </c>
      <c r="C374" s="59">
        <v>417.9</v>
      </c>
      <c r="D374" s="59">
        <v>447.6</v>
      </c>
      <c r="E374" s="59">
        <v>423.67</v>
      </c>
      <c r="F374" s="59">
        <v>455.02</v>
      </c>
      <c r="G374" s="59">
        <v>480.5</v>
      </c>
      <c r="H374" s="57">
        <v>509.8</v>
      </c>
      <c r="I374" s="59">
        <v>537.9</v>
      </c>
    </row>
    <row r="375" spans="1:9" s="83" customFormat="1" ht="21" customHeight="1">
      <c r="A375" s="129" t="s">
        <v>106</v>
      </c>
      <c r="B375" s="129"/>
      <c r="C375" s="129"/>
      <c r="D375" s="129"/>
      <c r="E375" s="129"/>
      <c r="F375" s="129"/>
      <c r="G375" s="129"/>
      <c r="H375" s="129"/>
      <c r="I375" s="129"/>
    </row>
    <row r="376" spans="1:9" s="70" customFormat="1" ht="46.5" customHeight="1">
      <c r="A376" s="75" t="s">
        <v>124</v>
      </c>
      <c r="B376" s="116" t="s">
        <v>33</v>
      </c>
      <c r="C376" s="94">
        <v>991818</v>
      </c>
      <c r="D376" s="94">
        <v>1183288</v>
      </c>
      <c r="E376" s="94">
        <v>1089676</v>
      </c>
      <c r="F376" s="94">
        <v>1084180</v>
      </c>
      <c r="G376" s="94">
        <v>1038205</v>
      </c>
      <c r="H376" s="94">
        <v>1031527</v>
      </c>
      <c r="I376" s="94">
        <v>987694</v>
      </c>
    </row>
    <row r="377" spans="1:9" s="83" customFormat="1" ht="21" customHeight="1">
      <c r="A377" s="129" t="s">
        <v>107</v>
      </c>
      <c r="B377" s="129"/>
      <c r="C377" s="129"/>
      <c r="D377" s="129"/>
      <c r="E377" s="129"/>
      <c r="F377" s="129"/>
      <c r="G377" s="129"/>
      <c r="H377" s="129"/>
      <c r="I377" s="129"/>
    </row>
    <row r="378" spans="1:9" s="85" customFormat="1" ht="21" customHeight="1">
      <c r="A378" s="75" t="s">
        <v>110</v>
      </c>
      <c r="B378" s="4" t="s">
        <v>121</v>
      </c>
      <c r="C378" s="7">
        <v>17112380</v>
      </c>
      <c r="D378" s="7">
        <v>17112380</v>
      </c>
      <c r="E378" s="7">
        <v>17112380</v>
      </c>
      <c r="F378" s="7">
        <v>17112380</v>
      </c>
      <c r="G378" s="7">
        <v>17112380</v>
      </c>
      <c r="H378" s="7">
        <v>17112380</v>
      </c>
      <c r="I378" s="7">
        <v>17112380</v>
      </c>
    </row>
    <row r="379" spans="1:9" s="85" customFormat="1" ht="21" customHeight="1">
      <c r="A379" s="75" t="s">
        <v>15</v>
      </c>
      <c r="B379" s="4"/>
      <c r="C379" s="86"/>
      <c r="D379" s="86"/>
      <c r="E379" s="84"/>
      <c r="F379" s="84"/>
      <c r="G379" s="84"/>
      <c r="H379" s="84"/>
      <c r="I379" s="84"/>
    </row>
    <row r="380" spans="1:9" s="85" customFormat="1" ht="25.5" customHeight="1">
      <c r="A380" s="75" t="s">
        <v>125</v>
      </c>
      <c r="B380" s="4" t="s">
        <v>121</v>
      </c>
      <c r="C380" s="7">
        <v>1646360</v>
      </c>
      <c r="D380" s="7">
        <v>1629518</v>
      </c>
      <c r="E380" s="7">
        <v>1629142</v>
      </c>
      <c r="F380" s="7">
        <v>1629120</v>
      </c>
      <c r="G380" s="7">
        <v>1637750</v>
      </c>
      <c r="H380" s="7">
        <v>1637730</v>
      </c>
      <c r="I380" s="7">
        <v>1637710</v>
      </c>
    </row>
    <row r="381" spans="1:9" s="85" customFormat="1" ht="29.25" customHeight="1">
      <c r="A381" s="75" t="s">
        <v>126</v>
      </c>
      <c r="B381" s="4" t="s">
        <v>121</v>
      </c>
      <c r="C381" s="7">
        <v>15476020</v>
      </c>
      <c r="D381" s="7">
        <v>15482862</v>
      </c>
      <c r="E381" s="7">
        <v>15483238</v>
      </c>
      <c r="F381" s="7">
        <v>15483260</v>
      </c>
      <c r="G381" s="7">
        <v>15474630</v>
      </c>
      <c r="H381" s="7">
        <v>15474650</v>
      </c>
      <c r="I381" s="7">
        <v>15474670</v>
      </c>
    </row>
    <row r="382" spans="1:9" s="85" customFormat="1" ht="21.75" customHeight="1">
      <c r="A382" s="87" t="s">
        <v>111</v>
      </c>
      <c r="B382" s="4" t="s">
        <v>121</v>
      </c>
      <c r="C382" s="86">
        <v>150880</v>
      </c>
      <c r="D382" s="86">
        <v>150880</v>
      </c>
      <c r="E382" s="84">
        <v>150875</v>
      </c>
      <c r="F382" s="84">
        <v>150880</v>
      </c>
      <c r="G382" s="84">
        <v>150890</v>
      </c>
      <c r="H382" s="84">
        <v>150900</v>
      </c>
      <c r="I382" s="84">
        <v>150910</v>
      </c>
    </row>
    <row r="383" spans="1:9" s="70" customFormat="1" ht="18.75" customHeight="1">
      <c r="A383" s="75" t="s">
        <v>112</v>
      </c>
      <c r="B383" s="4" t="s">
        <v>121</v>
      </c>
      <c r="C383" s="86">
        <v>129340</v>
      </c>
      <c r="D383" s="86">
        <v>129340</v>
      </c>
      <c r="E383" s="84">
        <v>129330</v>
      </c>
      <c r="F383" s="84">
        <v>129330</v>
      </c>
      <c r="G383" s="84">
        <v>129330</v>
      </c>
      <c r="H383" s="84">
        <v>129320</v>
      </c>
      <c r="I383" s="84">
        <v>129310</v>
      </c>
    </row>
    <row r="384" spans="1:9" s="70" customFormat="1" ht="21.75" customHeight="1">
      <c r="A384" s="75" t="s">
        <v>113</v>
      </c>
      <c r="B384" s="4" t="s">
        <v>121</v>
      </c>
      <c r="C384" s="86">
        <v>21540</v>
      </c>
      <c r="D384" s="86">
        <v>21540</v>
      </c>
      <c r="E384" s="84">
        <v>21545</v>
      </c>
      <c r="F384" s="84">
        <v>21550</v>
      </c>
      <c r="G384" s="84">
        <v>21560</v>
      </c>
      <c r="H384" s="84">
        <v>21580</v>
      </c>
      <c r="I384" s="84">
        <v>21600</v>
      </c>
    </row>
    <row r="385" spans="1:9" s="70" customFormat="1" ht="21" customHeight="1">
      <c r="A385" s="87" t="s">
        <v>114</v>
      </c>
      <c r="B385" s="4" t="s">
        <v>121</v>
      </c>
      <c r="C385" s="86">
        <v>247780</v>
      </c>
      <c r="D385" s="86">
        <v>247780</v>
      </c>
      <c r="E385" s="84">
        <v>247790</v>
      </c>
      <c r="F385" s="84">
        <v>246410</v>
      </c>
      <c r="G385" s="84">
        <v>246400</v>
      </c>
      <c r="H385" s="84">
        <v>246420</v>
      </c>
      <c r="I385" s="84">
        <v>246440</v>
      </c>
    </row>
    <row r="386" spans="1:9" s="70" customFormat="1" ht="18" customHeight="1">
      <c r="A386" s="75" t="s">
        <v>115</v>
      </c>
      <c r="B386" s="4" t="s">
        <v>121</v>
      </c>
      <c r="C386" s="86">
        <v>220360</v>
      </c>
      <c r="D386" s="86">
        <v>220360</v>
      </c>
      <c r="E386" s="84">
        <v>220360</v>
      </c>
      <c r="F386" s="84">
        <v>218940</v>
      </c>
      <c r="G386" s="84">
        <v>218940</v>
      </c>
      <c r="H386" s="84">
        <v>218940</v>
      </c>
      <c r="I386" s="84">
        <v>218940</v>
      </c>
    </row>
    <row r="387" spans="1:9" s="70" customFormat="1" ht="18" customHeight="1">
      <c r="A387" s="75" t="s">
        <v>113</v>
      </c>
      <c r="B387" s="4" t="s">
        <v>121</v>
      </c>
      <c r="C387" s="86">
        <v>27420</v>
      </c>
      <c r="D387" s="86">
        <v>27420</v>
      </c>
      <c r="E387" s="84">
        <v>27430</v>
      </c>
      <c r="F387" s="84">
        <v>27440</v>
      </c>
      <c r="G387" s="84">
        <v>27460</v>
      </c>
      <c r="H387" s="84">
        <v>27480</v>
      </c>
      <c r="I387" s="84">
        <v>27500</v>
      </c>
    </row>
    <row r="388" spans="1:9" s="70" customFormat="1" ht="34.5" customHeight="1">
      <c r="A388" s="75" t="s">
        <v>127</v>
      </c>
      <c r="B388" s="4" t="s">
        <v>121</v>
      </c>
      <c r="C388" s="86">
        <v>10540</v>
      </c>
      <c r="D388" s="86">
        <v>10540</v>
      </c>
      <c r="E388" s="84">
        <v>10540</v>
      </c>
      <c r="F388" s="84">
        <v>10540</v>
      </c>
      <c r="G388" s="84">
        <v>10540</v>
      </c>
      <c r="H388" s="84">
        <v>10590</v>
      </c>
      <c r="I388" s="84">
        <v>10650</v>
      </c>
    </row>
    <row r="389" spans="1:9" s="70" customFormat="1" ht="21" customHeight="1">
      <c r="A389" s="75" t="s">
        <v>15</v>
      </c>
      <c r="B389" s="4"/>
      <c r="C389" s="86"/>
      <c r="D389" s="86"/>
      <c r="E389" s="84"/>
      <c r="F389" s="84"/>
      <c r="G389" s="84"/>
      <c r="H389" s="84"/>
      <c r="I389" s="84"/>
    </row>
    <row r="390" spans="1:9" s="70" customFormat="1" ht="21" customHeight="1">
      <c r="A390" s="75" t="s">
        <v>116</v>
      </c>
      <c r="B390" s="4" t="s">
        <v>121</v>
      </c>
      <c r="C390" s="86">
        <v>5810</v>
      </c>
      <c r="D390" s="86">
        <v>5810</v>
      </c>
      <c r="E390" s="84">
        <v>5810</v>
      </c>
      <c r="F390" s="84">
        <v>5810</v>
      </c>
      <c r="G390" s="84">
        <v>5810</v>
      </c>
      <c r="H390" s="84">
        <v>5860</v>
      </c>
      <c r="I390" s="84">
        <v>5910</v>
      </c>
    </row>
    <row r="391" spans="1:9" s="70" customFormat="1" ht="29.25" customHeight="1">
      <c r="A391" s="75" t="s">
        <v>117</v>
      </c>
      <c r="B391" s="4" t="s">
        <v>121</v>
      </c>
      <c r="C391" s="86">
        <v>4730</v>
      </c>
      <c r="D391" s="86">
        <v>4730</v>
      </c>
      <c r="E391" s="84">
        <v>4730</v>
      </c>
      <c r="F391" s="84">
        <v>4730</v>
      </c>
      <c r="G391" s="84">
        <v>4730</v>
      </c>
      <c r="H391" s="84">
        <v>4730</v>
      </c>
      <c r="I391" s="84">
        <v>4740</v>
      </c>
    </row>
    <row r="392" spans="1:9" s="70" customFormat="1" ht="60" customHeight="1">
      <c r="A392" s="75" t="s">
        <v>122</v>
      </c>
      <c r="B392" s="4" t="s">
        <v>121</v>
      </c>
      <c r="C392" s="86">
        <v>10</v>
      </c>
      <c r="D392" s="86">
        <v>10</v>
      </c>
      <c r="E392" s="84">
        <v>10</v>
      </c>
      <c r="F392" s="84">
        <v>10</v>
      </c>
      <c r="G392" s="84">
        <v>10</v>
      </c>
      <c r="H392" s="84">
        <v>10</v>
      </c>
      <c r="I392" s="84">
        <v>30</v>
      </c>
    </row>
    <row r="393" spans="1:9" s="70" customFormat="1" ht="29.25" customHeight="1">
      <c r="A393" s="75" t="s">
        <v>118</v>
      </c>
      <c r="B393" s="4" t="s">
        <v>121</v>
      </c>
      <c r="C393" s="86">
        <v>135060</v>
      </c>
      <c r="D393" s="86">
        <v>135060</v>
      </c>
      <c r="E393" s="84">
        <v>135060</v>
      </c>
      <c r="F393" s="84">
        <v>135060</v>
      </c>
      <c r="G393" s="84">
        <v>135060</v>
      </c>
      <c r="H393" s="84">
        <v>135060</v>
      </c>
      <c r="I393" s="84">
        <v>134850</v>
      </c>
    </row>
    <row r="394" spans="1:9" s="70" customFormat="1" ht="21" customHeight="1">
      <c r="A394" s="75" t="s">
        <v>119</v>
      </c>
      <c r="B394" s="4"/>
      <c r="C394" s="86"/>
      <c r="D394" s="86"/>
      <c r="E394" s="84"/>
      <c r="F394" s="84"/>
      <c r="G394" s="84"/>
      <c r="H394" s="84"/>
      <c r="I394" s="84"/>
    </row>
    <row r="395" spans="1:9" s="70" customFormat="1" ht="31.5" customHeight="1">
      <c r="A395" s="75" t="s">
        <v>120</v>
      </c>
      <c r="B395" s="4" t="s">
        <v>121</v>
      </c>
      <c r="C395" s="86">
        <v>49770</v>
      </c>
      <c r="D395" s="86">
        <v>49770</v>
      </c>
      <c r="E395" s="84">
        <v>49770</v>
      </c>
      <c r="F395" s="84">
        <v>49770</v>
      </c>
      <c r="G395" s="84">
        <v>49770</v>
      </c>
      <c r="H395" s="84">
        <v>49770</v>
      </c>
      <c r="I395" s="84">
        <v>49700</v>
      </c>
    </row>
    <row r="396" spans="1:9" s="88" customFormat="1" ht="21" customHeight="1">
      <c r="A396" s="129" t="s">
        <v>108</v>
      </c>
      <c r="B396" s="129"/>
      <c r="C396" s="129"/>
      <c r="D396" s="129"/>
      <c r="E396" s="129"/>
      <c r="F396" s="129"/>
      <c r="G396" s="129"/>
      <c r="H396" s="129"/>
      <c r="I396" s="129"/>
    </row>
    <row r="397" spans="1:9" s="70" customFormat="1" ht="29.25" customHeight="1">
      <c r="A397" s="75" t="s">
        <v>188</v>
      </c>
      <c r="B397" s="1" t="s">
        <v>45</v>
      </c>
      <c r="C397" s="50">
        <f>(41076+40153)/2/1000</f>
        <v>40.6145</v>
      </c>
      <c r="D397" s="50">
        <f>(40153+39592)/2/1000</f>
        <v>39.872500000000002</v>
      </c>
      <c r="E397" s="50">
        <v>39.299999999999997</v>
      </c>
      <c r="F397" s="50">
        <f>(39.2+38.9)/2</f>
        <v>39.049999999999997</v>
      </c>
      <c r="G397" s="50">
        <f>(38.9+38.7)/2</f>
        <v>38.799999999999997</v>
      </c>
      <c r="H397" s="50">
        <f>(38.7+38.3)/2</f>
        <v>38.5</v>
      </c>
      <c r="I397" s="50">
        <f>(38.3+38.1)/2</f>
        <v>38.200000000000003</v>
      </c>
    </row>
    <row r="398" spans="1:9" s="70" customFormat="1" ht="22.5" customHeight="1">
      <c r="A398" s="75" t="s">
        <v>15</v>
      </c>
      <c r="B398" s="1"/>
      <c r="C398" s="50"/>
      <c r="D398" s="50"/>
      <c r="E398" s="50"/>
      <c r="F398" s="50"/>
      <c r="G398" s="50"/>
      <c r="H398" s="105"/>
      <c r="I398" s="105"/>
    </row>
    <row r="399" spans="1:9" s="70" customFormat="1" ht="23.25" customHeight="1">
      <c r="A399" s="75" t="s">
        <v>189</v>
      </c>
      <c r="B399" s="1" t="s">
        <v>45</v>
      </c>
      <c r="C399" s="50">
        <f>(24.044+23.499)/2</f>
        <v>23.7715</v>
      </c>
      <c r="D399" s="50">
        <f>(23.499+23.188)/2</f>
        <v>23.343499999999999</v>
      </c>
      <c r="E399" s="50">
        <f>(23188+23073)/2/1000</f>
        <v>23.130500000000001</v>
      </c>
      <c r="F399" s="50">
        <v>22.9</v>
      </c>
      <c r="G399" s="50">
        <v>22.7</v>
      </c>
      <c r="H399" s="50">
        <v>22.5</v>
      </c>
      <c r="I399" s="50">
        <v>22.4</v>
      </c>
    </row>
    <row r="400" spans="1:9" s="70" customFormat="1" ht="22.5" customHeight="1">
      <c r="A400" s="75" t="s">
        <v>190</v>
      </c>
      <c r="B400" s="1" t="s">
        <v>45</v>
      </c>
      <c r="C400" s="50">
        <f>(17.032+16.654)/2</f>
        <v>16.843</v>
      </c>
      <c r="D400" s="50">
        <f>(16.654+16.404)/2</f>
        <v>16.529</v>
      </c>
      <c r="E400" s="50">
        <f>(16404+16069)/2/1000</f>
        <v>16.236499999999999</v>
      </c>
      <c r="F400" s="50">
        <v>16.2</v>
      </c>
      <c r="G400" s="50">
        <v>16.100000000000001</v>
      </c>
      <c r="H400" s="50">
        <v>16</v>
      </c>
      <c r="I400" s="50">
        <v>15.8</v>
      </c>
    </row>
    <row r="401" spans="1:9" s="70" customFormat="1" ht="30.75" customHeight="1">
      <c r="A401" s="75" t="s">
        <v>237</v>
      </c>
      <c r="B401" s="1" t="s">
        <v>238</v>
      </c>
      <c r="C401" s="50">
        <f>-130/C397</f>
        <v>-3.2008272907459161</v>
      </c>
      <c r="D401" s="9">
        <f>17/39592*1000</f>
        <v>0.42937967266114369</v>
      </c>
      <c r="E401" s="50">
        <f>29/39142*1000</f>
        <v>0.74089213632415307</v>
      </c>
      <c r="F401" s="50">
        <v>0.3</v>
      </c>
      <c r="G401" s="50">
        <v>0.1</v>
      </c>
      <c r="H401" s="50">
        <v>0.1</v>
      </c>
      <c r="I401" s="50">
        <v>0.1</v>
      </c>
    </row>
    <row r="402" spans="1:9" s="42" customFormat="1" ht="21" customHeight="1">
      <c r="A402" s="129" t="s">
        <v>235</v>
      </c>
      <c r="B402" s="129"/>
      <c r="C402" s="129"/>
      <c r="D402" s="129"/>
      <c r="E402" s="129"/>
      <c r="F402" s="129"/>
      <c r="G402" s="129"/>
      <c r="H402" s="129"/>
      <c r="I402" s="129"/>
    </row>
    <row r="403" spans="1:9" s="70" customFormat="1" ht="30" customHeight="1">
      <c r="A403" s="75" t="s">
        <v>209</v>
      </c>
      <c r="B403" s="4" t="s">
        <v>46</v>
      </c>
      <c r="C403" s="8">
        <v>238</v>
      </c>
      <c r="D403" s="8">
        <v>238</v>
      </c>
      <c r="E403" s="8">
        <v>241</v>
      </c>
      <c r="F403" s="8">
        <v>243</v>
      </c>
      <c r="G403" s="8">
        <v>243</v>
      </c>
      <c r="H403" s="8">
        <v>243</v>
      </c>
      <c r="I403" s="8">
        <v>243</v>
      </c>
    </row>
    <row r="404" spans="1:9" s="70" customFormat="1" ht="18" customHeight="1">
      <c r="A404" s="75" t="s">
        <v>210</v>
      </c>
      <c r="B404" s="4" t="s">
        <v>46</v>
      </c>
      <c r="C404" s="8">
        <v>144</v>
      </c>
      <c r="D404" s="8">
        <v>144</v>
      </c>
      <c r="E404" s="8">
        <v>147</v>
      </c>
      <c r="F404" s="8">
        <v>152</v>
      </c>
      <c r="G404" s="8">
        <v>152</v>
      </c>
      <c r="H404" s="8">
        <v>152</v>
      </c>
      <c r="I404" s="8">
        <v>152</v>
      </c>
    </row>
    <row r="405" spans="1:9" s="89" customFormat="1" ht="29.25" customHeight="1">
      <c r="A405" s="75" t="s">
        <v>123</v>
      </c>
      <c r="B405" s="116" t="s">
        <v>33</v>
      </c>
      <c r="C405" s="5">
        <v>125185.5</v>
      </c>
      <c r="D405" s="5">
        <v>133123</v>
      </c>
      <c r="E405" s="5">
        <v>164507</v>
      </c>
      <c r="F405" s="5">
        <v>162961</v>
      </c>
      <c r="G405" s="5">
        <v>170604</v>
      </c>
      <c r="H405" s="5">
        <v>172197</v>
      </c>
      <c r="I405" s="5">
        <v>173697</v>
      </c>
    </row>
    <row r="406" spans="1:9" s="70" customFormat="1" ht="21" customHeight="1">
      <c r="A406" s="129" t="s">
        <v>109</v>
      </c>
      <c r="B406" s="129"/>
      <c r="C406" s="129"/>
      <c r="D406" s="129"/>
      <c r="E406" s="129"/>
      <c r="F406" s="129"/>
      <c r="G406" s="129"/>
      <c r="H406" s="129"/>
      <c r="I406" s="129"/>
    </row>
    <row r="407" spans="1:9" s="70" customFormat="1" ht="45">
      <c r="A407" s="75" t="s">
        <v>196</v>
      </c>
      <c r="B407" s="4" t="s">
        <v>137</v>
      </c>
      <c r="C407" s="8">
        <v>63</v>
      </c>
      <c r="D407" s="8">
        <v>48</v>
      </c>
      <c r="E407" s="8">
        <v>48</v>
      </c>
      <c r="F407" s="8">
        <v>20</v>
      </c>
      <c r="G407" s="8">
        <v>20</v>
      </c>
      <c r="H407" s="8">
        <v>20</v>
      </c>
      <c r="I407" s="8">
        <v>20</v>
      </c>
    </row>
    <row r="408" spans="1:9" s="70" customFormat="1" ht="30" customHeight="1">
      <c r="A408" s="75" t="s">
        <v>132</v>
      </c>
      <c r="B408" s="4" t="s">
        <v>138</v>
      </c>
      <c r="C408" s="5">
        <v>3665</v>
      </c>
      <c r="D408" s="5">
        <v>3434.73</v>
      </c>
      <c r="E408" s="108">
        <v>3434.74</v>
      </c>
      <c r="F408" s="108">
        <v>2490.953</v>
      </c>
      <c r="G408" s="17">
        <v>2490.953</v>
      </c>
      <c r="H408" s="17">
        <v>2490.953</v>
      </c>
      <c r="I408" s="17">
        <v>2490.953</v>
      </c>
    </row>
    <row r="409" spans="1:9" s="70" customFormat="1" ht="21" customHeight="1">
      <c r="A409" s="75" t="s">
        <v>40</v>
      </c>
      <c r="B409" s="4"/>
      <c r="C409" s="9"/>
      <c r="D409" s="9"/>
      <c r="E409" s="6"/>
      <c r="F409" s="6"/>
      <c r="G409" s="6"/>
      <c r="H409" s="6"/>
      <c r="I409" s="6"/>
    </row>
    <row r="410" spans="1:9" s="70" customFormat="1" ht="18" customHeight="1">
      <c r="A410" s="75" t="s">
        <v>133</v>
      </c>
      <c r="B410" s="4" t="s">
        <v>138</v>
      </c>
      <c r="C410" s="5">
        <v>244</v>
      </c>
      <c r="D410" s="5">
        <v>322.28300000000002</v>
      </c>
      <c r="E410" s="17">
        <v>322.28300000000002</v>
      </c>
      <c r="F410" s="17">
        <v>214.21600000000001</v>
      </c>
      <c r="G410" s="17">
        <v>214.21600000000001</v>
      </c>
      <c r="H410" s="17">
        <v>214.21600000000001</v>
      </c>
      <c r="I410" s="17">
        <v>214.21600000000001</v>
      </c>
    </row>
    <row r="411" spans="1:9" s="70" customFormat="1" ht="18" customHeight="1">
      <c r="A411" s="75" t="s">
        <v>134</v>
      </c>
      <c r="B411" s="4" t="s">
        <v>138</v>
      </c>
      <c r="C411" s="5">
        <v>3421</v>
      </c>
      <c r="D411" s="5">
        <v>3112.4569999999999</v>
      </c>
      <c r="E411" s="108">
        <v>3112.4569999999999</v>
      </c>
      <c r="F411" s="108">
        <v>2276.7570000000001</v>
      </c>
      <c r="G411" s="17">
        <v>2276.7570000000001</v>
      </c>
      <c r="H411" s="17">
        <v>2276.7570000000001</v>
      </c>
      <c r="I411" s="17">
        <v>2276.7570000000001</v>
      </c>
    </row>
    <row r="412" spans="1:9" s="70" customFormat="1" ht="18.75" customHeight="1">
      <c r="A412" s="75" t="s">
        <v>135</v>
      </c>
      <c r="B412" s="4" t="s">
        <v>138</v>
      </c>
      <c r="C412" s="10">
        <f>C408/C397/1000</f>
        <v>9.0238707850644473E-2</v>
      </c>
      <c r="D412" s="10">
        <f>D408/39592</f>
        <v>8.6753131945847647E-2</v>
      </c>
      <c r="E412" s="6">
        <v>8.6999999999999994E-2</v>
      </c>
      <c r="F412" s="6">
        <v>6.2899999999999998E-2</v>
      </c>
      <c r="G412" s="6">
        <v>6.2899999999999998E-2</v>
      </c>
      <c r="H412" s="6">
        <v>6.2899999999999998E-2</v>
      </c>
      <c r="I412" s="6">
        <v>6.2899999999999998E-2</v>
      </c>
    </row>
    <row r="413" spans="1:9" s="70" customFormat="1" ht="30.75" customHeight="1">
      <c r="A413" s="75" t="s">
        <v>136</v>
      </c>
      <c r="B413" s="116" t="s">
        <v>33</v>
      </c>
      <c r="C413" s="5">
        <v>6130.3</v>
      </c>
      <c r="D413" s="5">
        <v>2923.1469999999999</v>
      </c>
      <c r="E413" s="108">
        <v>4787.83</v>
      </c>
      <c r="F413" s="108">
        <v>6257.5150000000003</v>
      </c>
      <c r="G413" s="109">
        <v>10930</v>
      </c>
      <c r="H413" s="109">
        <v>32700</v>
      </c>
      <c r="I413" s="109">
        <v>64000</v>
      </c>
    </row>
    <row r="414" spans="1:9" s="91" customFormat="1">
      <c r="A414" s="13"/>
      <c r="B414" s="21"/>
      <c r="C414" s="22"/>
      <c r="D414" s="22"/>
      <c r="E414" s="22"/>
      <c r="F414" s="22"/>
      <c r="G414" s="90"/>
      <c r="H414" s="90"/>
      <c r="I414" s="90"/>
    </row>
  </sheetData>
  <mergeCells count="26">
    <mergeCell ref="A1:I1"/>
    <mergeCell ref="A209:B209"/>
    <mergeCell ref="A402:I402"/>
    <mergeCell ref="A406:I406"/>
    <mergeCell ref="A331:I331"/>
    <mergeCell ref="A351:I351"/>
    <mergeCell ref="A361:I361"/>
    <mergeCell ref="A375:I375"/>
    <mergeCell ref="A377:I377"/>
    <mergeCell ref="A396:I396"/>
    <mergeCell ref="A253:I253"/>
    <mergeCell ref="A306:I306"/>
    <mergeCell ref="A324:I324"/>
    <mergeCell ref="A327:I327"/>
    <mergeCell ref="A206:B206"/>
    <mergeCell ref="A200:B200"/>
    <mergeCell ref="E2:E3"/>
    <mergeCell ref="A4:I4"/>
    <mergeCell ref="A112:I112"/>
    <mergeCell ref="F2:F3"/>
    <mergeCell ref="A195:I195"/>
    <mergeCell ref="G2:I2"/>
    <mergeCell ref="D2:D3"/>
    <mergeCell ref="A2:A3"/>
    <mergeCell ref="B2:B3"/>
    <mergeCell ref="C2:C3"/>
  </mergeCells>
  <phoneticPr fontId="0" type="noConversion"/>
  <pageMargins left="0.98425196850393704" right="0.59055118110236227" top="0.78740157480314965" bottom="0.59055118110236227" header="0.59055118110236227" footer="0.78740157480314965"/>
  <pageSetup paperSize="9" scale="79" fitToHeight="10" orientation="portrait" r:id="rId1"/>
  <headerFooter differentFirst="1" alignWithMargins="0">
    <oddHeader>&amp;C&amp;P</oddHeader>
  </headerFooter>
  <rowBreaks count="10" manualBreakCount="10">
    <brk id="41" max="8" man="1"/>
    <brk id="106" max="8" man="1"/>
    <brk id="144" max="8" man="1"/>
    <brk id="189" max="8" man="1"/>
    <brk id="226" max="8" man="1"/>
    <brk id="261" max="8" man="1"/>
    <brk id="304" max="8" man="1"/>
    <brk id="333" max="8" man="1"/>
    <brk id="363" max="8" man="1"/>
    <brk id="39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Администрация Томской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Федоровская</dc:creator>
  <cp:lastModifiedBy>Отдел экономики 3</cp:lastModifiedBy>
  <cp:lastPrinted>2014-12-23T04:23:34Z</cp:lastPrinted>
  <dcterms:created xsi:type="dcterms:W3CDTF">2003-05-23T03:32:28Z</dcterms:created>
  <dcterms:modified xsi:type="dcterms:W3CDTF">2014-12-23T04:31:01Z</dcterms:modified>
</cp:coreProperties>
</file>