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25" yWindow="30" windowWidth="16260" windowHeight="10155"/>
  </bookViews>
  <sheets>
    <sheet name="frmRRO4" sheetId="1" r:id="rId1"/>
    <sheet name="план 2020 (план, факт)" sheetId="6" r:id="rId2"/>
    <sheet name="план 2021" sheetId="7" r:id="rId3"/>
    <sheet name="Лист2" sheetId="3" r:id="rId4"/>
  </sheets>
  <definedNames>
    <definedName name="_xlnm.Print_Titles" localSheetId="0">frmRRO4!$2:$5</definedName>
    <definedName name="_xlnm.Print_Titles" localSheetId="2">'план 2021'!$A:$A</definedName>
  </definedNames>
  <calcPr calcId="125725"/>
  <fileRecoveryPr autoRecover="0"/>
</workbook>
</file>

<file path=xl/calcChain.xml><?xml version="1.0" encoding="utf-8"?>
<calcChain xmlns="http://schemas.openxmlformats.org/spreadsheetml/2006/main">
  <c r="Q422" i="1"/>
  <c r="R422"/>
  <c r="P422"/>
  <c r="Q462"/>
  <c r="R462"/>
  <c r="P462"/>
  <c r="Q426"/>
  <c r="R426"/>
  <c r="P426"/>
  <c r="P407"/>
  <c r="P406"/>
  <c r="P400"/>
  <c r="C28" i="3"/>
  <c r="D28"/>
  <c r="E28"/>
  <c r="F28"/>
  <c r="G28"/>
  <c r="H28"/>
  <c r="I28"/>
  <c r="B28"/>
  <c r="H26"/>
  <c r="I26"/>
  <c r="J26"/>
  <c r="H5"/>
  <c r="I5"/>
  <c r="J5"/>
  <c r="H6"/>
  <c r="I6"/>
  <c r="J6"/>
  <c r="H7"/>
  <c r="I7"/>
  <c r="J7"/>
  <c r="H8"/>
  <c r="I8"/>
  <c r="J8"/>
  <c r="H9"/>
  <c r="I9"/>
  <c r="J9"/>
  <c r="H10"/>
  <c r="I10"/>
  <c r="J10"/>
  <c r="H11"/>
  <c r="I11"/>
  <c r="J11"/>
  <c r="H12"/>
  <c r="I12"/>
  <c r="J12"/>
  <c r="H13"/>
  <c r="I13"/>
  <c r="J13"/>
  <c r="H14"/>
  <c r="I14"/>
  <c r="J14"/>
  <c r="H15"/>
  <c r="I15"/>
  <c r="J15"/>
  <c r="H16"/>
  <c r="I16"/>
  <c r="J16"/>
  <c r="H17"/>
  <c r="I17"/>
  <c r="J17"/>
  <c r="H18"/>
  <c r="I18"/>
  <c r="J18"/>
  <c r="H19"/>
  <c r="I19"/>
  <c r="J19"/>
  <c r="H20"/>
  <c r="I20"/>
  <c r="J20"/>
  <c r="H21"/>
  <c r="I21"/>
  <c r="J21"/>
  <c r="J28" s="1"/>
  <c r="H22"/>
  <c r="I22"/>
  <c r="J22"/>
  <c r="H23"/>
  <c r="I23"/>
  <c r="J23"/>
  <c r="H24"/>
  <c r="I24"/>
  <c r="J24"/>
  <c r="H25"/>
  <c r="I25"/>
  <c r="J25"/>
  <c r="H27"/>
  <c r="I27"/>
  <c r="J27"/>
  <c r="I4"/>
  <c r="J4"/>
  <c r="H4"/>
  <c r="P99" i="1"/>
  <c r="P75"/>
  <c r="P52"/>
  <c r="B11" i="7"/>
  <c r="BI37"/>
  <c r="BH37"/>
  <c r="BG37"/>
  <c r="BS35"/>
  <c r="BS34"/>
  <c r="DQ34"/>
  <c r="DP34"/>
  <c r="DO34"/>
  <c r="DX32"/>
  <c r="AR32"/>
  <c r="BV32"/>
  <c r="CJ32"/>
  <c r="CI32"/>
  <c r="CH32"/>
  <c r="BX32"/>
  <c r="BW32"/>
  <c r="AT32"/>
  <c r="AS32"/>
  <c r="AO32"/>
  <c r="AG30"/>
  <c r="AF30"/>
  <c r="AE28"/>
  <c r="AD28"/>
  <c r="AC28"/>
  <c r="V26"/>
  <c r="U26"/>
  <c r="T26"/>
  <c r="CA24"/>
  <c r="BZ24"/>
  <c r="BY24"/>
  <c r="M18"/>
  <c r="L18"/>
  <c r="K18"/>
  <c r="AQ11"/>
  <c r="AP11"/>
  <c r="AO11"/>
  <c r="C11"/>
  <c r="DE11"/>
  <c r="DD11"/>
  <c r="DC11"/>
  <c r="DK11"/>
  <c r="DJ11"/>
  <c r="DI11"/>
  <c r="CY11"/>
  <c r="CX11"/>
  <c r="CW11"/>
  <c r="CP8"/>
  <c r="CO8"/>
  <c r="CN8"/>
  <c r="CM8"/>
  <c r="CL8"/>
  <c r="CK8"/>
  <c r="CM6"/>
  <c r="CL6"/>
  <c r="CK6"/>
  <c r="P212" i="1"/>
  <c r="P10"/>
  <c r="R274"/>
  <c r="P274"/>
  <c r="R273"/>
  <c r="P273"/>
  <c r="P157"/>
  <c r="P156" s="1"/>
  <c r="P264"/>
  <c r="P244"/>
  <c r="P124"/>
  <c r="Q86"/>
  <c r="R86"/>
  <c r="P87"/>
  <c r="P37"/>
  <c r="N341"/>
  <c r="O341"/>
  <c r="P86" l="1"/>
  <c r="Q471"/>
  <c r="R471"/>
  <c r="N471"/>
  <c r="O471"/>
  <c r="P471"/>
  <c r="P515"/>
  <c r="N486"/>
  <c r="O486"/>
  <c r="Q486"/>
  <c r="P486"/>
  <c r="P375"/>
  <c r="DX34" i="7"/>
  <c r="DZ28"/>
  <c r="DY28"/>
  <c r="DY26"/>
  <c r="DX24"/>
  <c r="DY24"/>
  <c r="DZ24"/>
  <c r="DX25"/>
  <c r="DY25"/>
  <c r="DZ25"/>
  <c r="DX26"/>
  <c r="DZ26"/>
  <c r="DX27"/>
  <c r="DY27"/>
  <c r="DZ27"/>
  <c r="DX28"/>
  <c r="DX29"/>
  <c r="DY29"/>
  <c r="DZ29"/>
  <c r="DX30"/>
  <c r="DY30"/>
  <c r="DZ30"/>
  <c r="DX31"/>
  <c r="DY31"/>
  <c r="DZ31"/>
  <c r="DY32"/>
  <c r="DZ32"/>
  <c r="DX33"/>
  <c r="DY33"/>
  <c r="DZ33"/>
  <c r="DY34"/>
  <c r="DZ34"/>
  <c r="DX35"/>
  <c r="DY35"/>
  <c r="DZ35"/>
  <c r="DX36"/>
  <c r="DY36"/>
  <c r="DZ36"/>
  <c r="DX37"/>
  <c r="DY37"/>
  <c r="DZ37"/>
  <c r="DX38"/>
  <c r="DY38"/>
  <c r="DZ38"/>
  <c r="DX39"/>
  <c r="DY39"/>
  <c r="DZ39"/>
  <c r="DX40"/>
  <c r="DY40"/>
  <c r="DZ40"/>
  <c r="DX41"/>
  <c r="DY41"/>
  <c r="DZ41"/>
  <c r="DX42"/>
  <c r="DY42"/>
  <c r="DZ42"/>
  <c r="DY23"/>
  <c r="DZ23"/>
  <c r="DX23"/>
  <c r="CA43"/>
  <c r="BZ43"/>
  <c r="BY43"/>
  <c r="DY18"/>
  <c r="DX12"/>
  <c r="DY12"/>
  <c r="DZ12"/>
  <c r="DX13"/>
  <c r="DY13"/>
  <c r="DZ13"/>
  <c r="DX14"/>
  <c r="DY14"/>
  <c r="DZ14"/>
  <c r="DX15"/>
  <c r="DY15"/>
  <c r="DZ15"/>
  <c r="DX16"/>
  <c r="DY16"/>
  <c r="DZ16"/>
  <c r="DX17"/>
  <c r="DY17"/>
  <c r="DZ17"/>
  <c r="DX18"/>
  <c r="DZ18"/>
  <c r="DX19"/>
  <c r="DY19"/>
  <c r="DZ19"/>
  <c r="DX20"/>
  <c r="DY20"/>
  <c r="DZ20"/>
  <c r="DX21"/>
  <c r="DY21"/>
  <c r="DZ21"/>
  <c r="DX22"/>
  <c r="DY22"/>
  <c r="DZ22"/>
  <c r="DX4"/>
  <c r="DY4"/>
  <c r="DZ4"/>
  <c r="DX5"/>
  <c r="DY5"/>
  <c r="DZ5"/>
  <c r="DX6"/>
  <c r="DY6"/>
  <c r="DZ6"/>
  <c r="DX7"/>
  <c r="DY7"/>
  <c r="DZ7"/>
  <c r="DX8"/>
  <c r="DY8"/>
  <c r="DZ8"/>
  <c r="DX9"/>
  <c r="DY9"/>
  <c r="DZ9"/>
  <c r="DX10"/>
  <c r="DY10"/>
  <c r="DZ10"/>
  <c r="DY11"/>
  <c r="DZ11"/>
  <c r="DX11"/>
  <c r="BF43"/>
  <c r="BE43"/>
  <c r="BD43"/>
  <c r="Q341" i="1"/>
  <c r="R341"/>
  <c r="P341"/>
  <c r="P238"/>
  <c r="Q273"/>
  <c r="R203"/>
  <c r="Q203"/>
  <c r="P203"/>
  <c r="R76"/>
  <c r="Q76"/>
  <c r="P76"/>
  <c r="P13"/>
  <c r="P523"/>
  <c r="P418"/>
  <c r="R404"/>
  <c r="Q404"/>
  <c r="P404"/>
  <c r="P397"/>
  <c r="P390"/>
  <c r="P235"/>
  <c r="P232" s="1"/>
  <c r="O228"/>
  <c r="P228"/>
  <c r="Q228"/>
  <c r="R228"/>
  <c r="N228"/>
  <c r="BS43" i="7"/>
  <c r="BU43"/>
  <c r="BT43"/>
  <c r="BR43"/>
  <c r="BQ43"/>
  <c r="BP43"/>
  <c r="P291" i="1"/>
  <c r="Q515"/>
  <c r="R515"/>
  <c r="Q507"/>
  <c r="R507"/>
  <c r="P507"/>
  <c r="R397"/>
  <c r="Q397"/>
  <c r="R407" l="1"/>
  <c r="R406"/>
  <c r="Q407"/>
  <c r="Q406"/>
  <c r="R359"/>
  <c r="P359"/>
  <c r="R400"/>
  <c r="R362" s="1"/>
  <c r="Q400"/>
  <c r="Q362" s="1"/>
  <c r="P362"/>
  <c r="R390"/>
  <c r="Q390"/>
  <c r="R387"/>
  <c r="R378" s="1"/>
  <c r="Q387"/>
  <c r="Q378" s="1"/>
  <c r="P387"/>
  <c r="R373"/>
  <c r="Q373"/>
  <c r="Q364" s="1"/>
  <c r="P373"/>
  <c r="P364" s="1"/>
  <c r="P355"/>
  <c r="Q355"/>
  <c r="R355"/>
  <c r="P356"/>
  <c r="Q356"/>
  <c r="R356"/>
  <c r="P358"/>
  <c r="Q358"/>
  <c r="R358"/>
  <c r="Q359"/>
  <c r="P360"/>
  <c r="Q360"/>
  <c r="R360"/>
  <c r="P361"/>
  <c r="Q361"/>
  <c r="R361"/>
  <c r="P363"/>
  <c r="Q363"/>
  <c r="R363"/>
  <c r="O232"/>
  <c r="Q232"/>
  <c r="R232"/>
  <c r="N232"/>
  <c r="P282"/>
  <c r="R244"/>
  <c r="R242" s="1"/>
  <c r="Q244"/>
  <c r="Q242" s="1"/>
  <c r="P210"/>
  <c r="Q210"/>
  <c r="R210"/>
  <c r="Q211"/>
  <c r="R211"/>
  <c r="P211"/>
  <c r="Q157"/>
  <c r="Q156" s="1"/>
  <c r="R157"/>
  <c r="R156" s="1"/>
  <c r="P151"/>
  <c r="P18"/>
  <c r="P347"/>
  <c r="Q347"/>
  <c r="R347"/>
  <c r="P348"/>
  <c r="Q348"/>
  <c r="R348"/>
  <c r="P349"/>
  <c r="Q349"/>
  <c r="R349"/>
  <c r="R304"/>
  <c r="R301" s="1"/>
  <c r="Q304"/>
  <c r="Q301" s="1"/>
  <c r="P304"/>
  <c r="P301" s="1"/>
  <c r="O304"/>
  <c r="N304"/>
  <c r="O212"/>
  <c r="O210" s="1"/>
  <c r="N212"/>
  <c r="N210" s="1"/>
  <c r="Q282"/>
  <c r="Q405" l="1"/>
  <c r="R357"/>
  <c r="R353" s="1"/>
  <c r="R405"/>
  <c r="P357"/>
  <c r="Q345"/>
  <c r="Q357"/>
  <c r="Q353" s="1"/>
  <c r="R364"/>
  <c r="C43" i="7"/>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G43"/>
  <c r="BH43"/>
  <c r="BI43"/>
  <c r="BJ43"/>
  <c r="BK43"/>
  <c r="BL43"/>
  <c r="BM43"/>
  <c r="BN43"/>
  <c r="BO43"/>
  <c r="BV43"/>
  <c r="BW43"/>
  <c r="BX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B43"/>
  <c r="Q558" i="1"/>
  <c r="R558"/>
  <c r="Q523"/>
  <c r="R523"/>
  <c r="Q504"/>
  <c r="R504"/>
  <c r="Q502"/>
  <c r="R502"/>
  <c r="Q498"/>
  <c r="R498"/>
  <c r="Q491"/>
  <c r="R491"/>
  <c r="Q484"/>
  <c r="R484"/>
  <c r="Q478"/>
  <c r="R478"/>
  <c r="Q415"/>
  <c r="R415"/>
  <c r="Q411"/>
  <c r="R411"/>
  <c r="Q327"/>
  <c r="Q326" s="1"/>
  <c r="R327"/>
  <c r="R326" s="1"/>
  <c r="Q321"/>
  <c r="Q320" s="1"/>
  <c r="R321"/>
  <c r="R320" s="1"/>
  <c r="Q314"/>
  <c r="R314"/>
  <c r="R291"/>
  <c r="R289" s="1"/>
  <c r="Q291"/>
  <c r="Q289" s="1"/>
  <c r="R282"/>
  <c r="R278" s="1"/>
  <c r="Q278"/>
  <c r="R269"/>
  <c r="Q274"/>
  <c r="R264"/>
  <c r="Q264"/>
  <c r="R263"/>
  <c r="Q263"/>
  <c r="P263"/>
  <c r="P242"/>
  <c r="Q226"/>
  <c r="R226"/>
  <c r="Q201"/>
  <c r="R201"/>
  <c r="Q187"/>
  <c r="R187"/>
  <c r="Q181"/>
  <c r="R181"/>
  <c r="Q179"/>
  <c r="R179"/>
  <c r="Q176"/>
  <c r="R176"/>
  <c r="Q421" l="1"/>
  <c r="Q420"/>
  <c r="Q410" s="1"/>
  <c r="Q344"/>
  <c r="Q269"/>
  <c r="Q268" s="1"/>
  <c r="Q262"/>
  <c r="R199"/>
  <c r="R268"/>
  <c r="Q208"/>
  <c r="R262"/>
  <c r="Q199"/>
  <c r="DY43" i="7"/>
  <c r="DX43"/>
  <c r="DZ43"/>
  <c r="Q319" i="1"/>
  <c r="R319"/>
  <c r="R208"/>
  <c r="R151" l="1"/>
  <c r="R149" s="1"/>
  <c r="Q151"/>
  <c r="Q149" s="1"/>
  <c r="Q139"/>
  <c r="R139"/>
  <c r="Q132"/>
  <c r="R132"/>
  <c r="Q117"/>
  <c r="R117"/>
  <c r="R51"/>
  <c r="Q51"/>
  <c r="P35"/>
  <c r="Q35"/>
  <c r="R35"/>
  <c r="P36"/>
  <c r="Q36"/>
  <c r="R36"/>
  <c r="Q27"/>
  <c r="Q28"/>
  <c r="Q19"/>
  <c r="R19"/>
  <c r="Q17"/>
  <c r="Q12"/>
  <c r="R12"/>
  <c r="Q9"/>
  <c r="R9"/>
  <c r="O558"/>
  <c r="O523"/>
  <c r="O515"/>
  <c r="O507"/>
  <c r="O504" s="1"/>
  <c r="O502"/>
  <c r="O498"/>
  <c r="O491"/>
  <c r="O484"/>
  <c r="O478"/>
  <c r="O462"/>
  <c r="N462"/>
  <c r="Q24" l="1"/>
  <c r="P33"/>
  <c r="Q33"/>
  <c r="R33"/>
  <c r="O426"/>
  <c r="O422"/>
  <c r="O418"/>
  <c r="O415" s="1"/>
  <c r="O411"/>
  <c r="O407"/>
  <c r="N407"/>
  <c r="O406"/>
  <c r="N406"/>
  <c r="O404"/>
  <c r="O359" s="1"/>
  <c r="N404"/>
  <c r="O400"/>
  <c r="O362" s="1"/>
  <c r="O390"/>
  <c r="N390"/>
  <c r="O392"/>
  <c r="N387"/>
  <c r="O387"/>
  <c r="O378" s="1"/>
  <c r="O373"/>
  <c r="O364" s="1"/>
  <c r="N373"/>
  <c r="O355"/>
  <c r="O356"/>
  <c r="O358"/>
  <c r="O360"/>
  <c r="O361"/>
  <c r="O363"/>
  <c r="O347"/>
  <c r="O348"/>
  <c r="O349"/>
  <c r="N274"/>
  <c r="O37"/>
  <c r="O36"/>
  <c r="O25" i="6"/>
  <c r="N25"/>
  <c r="AT42"/>
  <c r="AU42"/>
  <c r="FA34"/>
  <c r="EZ35"/>
  <c r="EZ36"/>
  <c r="EZ37"/>
  <c r="EZ38"/>
  <c r="EZ39"/>
  <c r="EZ40"/>
  <c r="EZ41"/>
  <c r="EZ34"/>
  <c r="BC31"/>
  <c r="BB31"/>
  <c r="AC31"/>
  <c r="AB31"/>
  <c r="AE31"/>
  <c r="AD31"/>
  <c r="AW31"/>
  <c r="AV31"/>
  <c r="U27"/>
  <c r="FA27"/>
  <c r="T27"/>
  <c r="R26"/>
  <c r="P26"/>
  <c r="EZ25"/>
  <c r="BY20"/>
  <c r="FA20" s="1"/>
  <c r="BX20"/>
  <c r="FA3"/>
  <c r="FA5"/>
  <c r="FA6"/>
  <c r="FA8"/>
  <c r="FA9"/>
  <c r="FA11"/>
  <c r="FA12"/>
  <c r="FA13"/>
  <c r="FA14"/>
  <c r="FA16"/>
  <c r="FA17"/>
  <c r="FA18"/>
  <c r="FA19"/>
  <c r="FA21"/>
  <c r="FA22"/>
  <c r="FA23"/>
  <c r="FA24"/>
  <c r="FA25"/>
  <c r="FA26"/>
  <c r="FA28"/>
  <c r="FA29"/>
  <c r="FA30"/>
  <c r="FA32"/>
  <c r="FA33"/>
  <c r="FA35"/>
  <c r="FA36"/>
  <c r="FA37"/>
  <c r="FA38"/>
  <c r="FA39"/>
  <c r="FA40"/>
  <c r="FA41"/>
  <c r="FA15"/>
  <c r="EZ3"/>
  <c r="EZ4"/>
  <c r="EZ6"/>
  <c r="EZ8"/>
  <c r="EZ9"/>
  <c r="EZ11"/>
  <c r="EZ12"/>
  <c r="EZ13"/>
  <c r="EZ14"/>
  <c r="EZ16"/>
  <c r="EZ17"/>
  <c r="EZ18"/>
  <c r="EZ19"/>
  <c r="EZ20"/>
  <c r="EZ21"/>
  <c r="EZ22"/>
  <c r="EZ23"/>
  <c r="EZ24"/>
  <c r="EZ26"/>
  <c r="EZ27"/>
  <c r="EZ28"/>
  <c r="EZ29"/>
  <c r="EZ30"/>
  <c r="EZ32"/>
  <c r="EZ33"/>
  <c r="EZ15"/>
  <c r="AY42"/>
  <c r="AX42"/>
  <c r="BU10"/>
  <c r="BO10"/>
  <c r="C10"/>
  <c r="FA10" s="1"/>
  <c r="B10"/>
  <c r="EZ10" s="1"/>
  <c r="CC10"/>
  <c r="CB10"/>
  <c r="BW10"/>
  <c r="BV10"/>
  <c r="BT10"/>
  <c r="AC10"/>
  <c r="AB10"/>
  <c r="BN10"/>
  <c r="BI7"/>
  <c r="BH7"/>
  <c r="BG7"/>
  <c r="FA7" s="1"/>
  <c r="BF7"/>
  <c r="EZ7" s="1"/>
  <c r="BG5"/>
  <c r="BF5"/>
  <c r="BL5"/>
  <c r="EZ5" s="1"/>
  <c r="BG4"/>
  <c r="FA4" s="1"/>
  <c r="BF4"/>
  <c r="O327" i="1"/>
  <c r="O326" s="1"/>
  <c r="O321"/>
  <c r="O320" s="1"/>
  <c r="O314"/>
  <c r="O301"/>
  <c r="O299"/>
  <c r="N299"/>
  <c r="O291"/>
  <c r="O289" s="1"/>
  <c r="N291"/>
  <c r="O274"/>
  <c r="O282"/>
  <c r="O278" s="1"/>
  <c r="N282"/>
  <c r="O273"/>
  <c r="N273"/>
  <c r="O272"/>
  <c r="N272"/>
  <c r="O264"/>
  <c r="O262" s="1"/>
  <c r="N264"/>
  <c r="O260"/>
  <c r="N260"/>
  <c r="O244"/>
  <c r="O242" s="1"/>
  <c r="N244"/>
  <c r="O226"/>
  <c r="O211"/>
  <c r="O201"/>
  <c r="O188"/>
  <c r="O187" s="1"/>
  <c r="N188"/>
  <c r="O181"/>
  <c r="O179"/>
  <c r="O176"/>
  <c r="O157"/>
  <c r="O156" s="1"/>
  <c r="N157"/>
  <c r="N156" s="1"/>
  <c r="O151"/>
  <c r="O149" s="1"/>
  <c r="O139"/>
  <c r="O132"/>
  <c r="O124"/>
  <c r="N124"/>
  <c r="O118"/>
  <c r="O87"/>
  <c r="N87"/>
  <c r="N100"/>
  <c r="N99"/>
  <c r="O99"/>
  <c r="O97"/>
  <c r="N97"/>
  <c r="O96"/>
  <c r="N96"/>
  <c r="O95"/>
  <c r="N95"/>
  <c r="O94"/>
  <c r="N94"/>
  <c r="O52"/>
  <c r="N52"/>
  <c r="O76"/>
  <c r="N76"/>
  <c r="O75"/>
  <c r="O63"/>
  <c r="N63"/>
  <c r="O62"/>
  <c r="O61"/>
  <c r="N38"/>
  <c r="N39"/>
  <c r="N37"/>
  <c r="O39"/>
  <c r="O28"/>
  <c r="O27"/>
  <c r="N27"/>
  <c r="O19"/>
  <c r="N13"/>
  <c r="O17"/>
  <c r="O12"/>
  <c r="O10"/>
  <c r="O9" s="1"/>
  <c r="N10"/>
  <c r="N400"/>
  <c r="N392"/>
  <c r="N151"/>
  <c r="N118"/>
  <c r="N62"/>
  <c r="N61"/>
  <c r="N507"/>
  <c r="N418"/>
  <c r="P139"/>
  <c r="N139"/>
  <c r="Q8" l="1"/>
  <c r="O421"/>
  <c r="O420" s="1"/>
  <c r="O410" s="1"/>
  <c r="Q7"/>
  <c r="Q6" s="1"/>
  <c r="Q570" s="1"/>
  <c r="O405"/>
  <c r="O35"/>
  <c r="O33" s="1"/>
  <c r="O269"/>
  <c r="O268" s="1"/>
  <c r="O117"/>
  <c r="O199"/>
  <c r="O24"/>
  <c r="O86"/>
  <c r="O51"/>
  <c r="O208"/>
  <c r="O357"/>
  <c r="O353" s="1"/>
  <c r="O345"/>
  <c r="FA31" i="6"/>
  <c r="EZ42"/>
  <c r="FA42"/>
  <c r="EZ31"/>
  <c r="O319" i="1"/>
  <c r="N498"/>
  <c r="N422"/>
  <c r="O8" l="1"/>
  <c r="O7" s="1"/>
  <c r="O344"/>
  <c r="O6" l="1"/>
  <c r="O570" s="1"/>
  <c r="N242" l="1"/>
  <c r="P149"/>
  <c r="N515"/>
  <c r="N523"/>
  <c r="P187"/>
  <c r="N187"/>
  <c r="N362"/>
  <c r="P327" l="1"/>
  <c r="N301"/>
  <c r="N75"/>
  <c r="N51" s="1"/>
  <c r="N35"/>
  <c r="P405" l="1"/>
  <c r="P314"/>
  <c r="N314"/>
  <c r="P201" l="1"/>
  <c r="P51"/>
  <c r="P415" l="1"/>
  <c r="P498" l="1"/>
  <c r="P491"/>
  <c r="R487"/>
  <c r="P478"/>
  <c r="P411"/>
  <c r="P326"/>
  <c r="P262"/>
  <c r="P226"/>
  <c r="P181"/>
  <c r="P179"/>
  <c r="P176"/>
  <c r="P132"/>
  <c r="P117"/>
  <c r="N361"/>
  <c r="N348"/>
  <c r="N426"/>
  <c r="N491"/>
  <c r="P504"/>
  <c r="N405"/>
  <c r="N327"/>
  <c r="N149"/>
  <c r="R486" l="1"/>
  <c r="R421" s="1"/>
  <c r="R420" s="1"/>
  <c r="R410" s="1"/>
  <c r="R345"/>
  <c r="R344" s="1"/>
  <c r="P208"/>
  <c r="P353"/>
  <c r="N357"/>
  <c r="P345"/>
  <c r="P199"/>
  <c r="DT42" i="6"/>
  <c r="DU42"/>
  <c r="DV42"/>
  <c r="DW42"/>
  <c r="DX42"/>
  <c r="DY42"/>
  <c r="DZ42"/>
  <c r="EA42"/>
  <c r="EB42"/>
  <c r="EC42"/>
  <c r="ED42"/>
  <c r="EE42"/>
  <c r="EF42"/>
  <c r="EG42"/>
  <c r="EH42"/>
  <c r="EI42"/>
  <c r="EJ42"/>
  <c r="EK42"/>
  <c r="EL42"/>
  <c r="EM42"/>
  <c r="EN42"/>
  <c r="EO42"/>
  <c r="EP42"/>
  <c r="EQ42"/>
  <c r="ER42"/>
  <c r="ES42"/>
  <c r="ET42"/>
  <c r="EU42"/>
  <c r="EV42"/>
  <c r="EW42"/>
  <c r="EX42"/>
  <c r="EY42"/>
  <c r="N478" i="1"/>
  <c r="N558"/>
  <c r="P558"/>
  <c r="P17"/>
  <c r="R17"/>
  <c r="N12"/>
  <c r="P12"/>
  <c r="N9"/>
  <c r="P9"/>
  <c r="AF42" i="6"/>
  <c r="AG42"/>
  <c r="BS42"/>
  <c r="BR42"/>
  <c r="N413" i="1"/>
  <c r="P289"/>
  <c r="P278"/>
  <c r="P269" l="1"/>
  <c r="P268" s="1"/>
  <c r="N269"/>
  <c r="N117"/>
  <c r="N86"/>
  <c r="N36" l="1"/>
  <c r="N17"/>
  <c r="N33" l="1"/>
  <c r="N201"/>
  <c r="N415"/>
  <c r="N321"/>
  <c r="N320" s="1"/>
  <c r="N504"/>
  <c r="N181"/>
  <c r="N176"/>
  <c r="N289"/>
  <c r="N358"/>
  <c r="DL44" i="7"/>
  <c r="N349" i="1"/>
  <c r="P26"/>
  <c r="R26"/>
  <c r="P27"/>
  <c r="R27"/>
  <c r="P28"/>
  <c r="R28"/>
  <c r="P502"/>
  <c r="P321"/>
  <c r="P320" s="1"/>
  <c r="P378"/>
  <c r="N378"/>
  <c r="N179"/>
  <c r="N173"/>
  <c r="P173"/>
  <c r="R173"/>
  <c r="N132"/>
  <c r="N26"/>
  <c r="N28"/>
  <c r="N19"/>
  <c r="P19"/>
  <c r="N211"/>
  <c r="C42" i="6"/>
  <c r="D42"/>
  <c r="E42"/>
  <c r="F42"/>
  <c r="G42"/>
  <c r="H42"/>
  <c r="I42"/>
  <c r="J42"/>
  <c r="K42"/>
  <c r="L42"/>
  <c r="M42"/>
  <c r="N42"/>
  <c r="O42"/>
  <c r="P42"/>
  <c r="Q42"/>
  <c r="R42"/>
  <c r="S42"/>
  <c r="T42"/>
  <c r="U42"/>
  <c r="V42"/>
  <c r="W42"/>
  <c r="X42"/>
  <c r="Y42"/>
  <c r="Z42"/>
  <c r="AA42"/>
  <c r="AB42"/>
  <c r="AC42"/>
  <c r="AD42"/>
  <c r="AE42"/>
  <c r="AH42"/>
  <c r="AI42"/>
  <c r="AJ42"/>
  <c r="AK42"/>
  <c r="AL42"/>
  <c r="AM42"/>
  <c r="AN42"/>
  <c r="AO42"/>
  <c r="AP42"/>
  <c r="AQ42"/>
  <c r="AR42"/>
  <c r="AS42"/>
  <c r="AV42"/>
  <c r="AW42"/>
  <c r="AZ42"/>
  <c r="BA42"/>
  <c r="BB42"/>
  <c r="BC42"/>
  <c r="BD42"/>
  <c r="BE42"/>
  <c r="BF42"/>
  <c r="BG42"/>
  <c r="BH42"/>
  <c r="BI42"/>
  <c r="BJ42"/>
  <c r="BK42"/>
  <c r="BL42"/>
  <c r="BM42"/>
  <c r="BN42"/>
  <c r="BO42"/>
  <c r="BP42"/>
  <c r="BQ42"/>
  <c r="BT42"/>
  <c r="BU42"/>
  <c r="BV42"/>
  <c r="BW42"/>
  <c r="BX42"/>
  <c r="BX43" s="1"/>
  <c r="BY42"/>
  <c r="BY43" s="1"/>
  <c r="BZ42"/>
  <c r="CA42"/>
  <c r="CB42"/>
  <c r="CC42"/>
  <c r="CD42"/>
  <c r="CE42"/>
  <c r="CF42"/>
  <c r="CG42"/>
  <c r="CH42"/>
  <c r="CI42"/>
  <c r="CJ42"/>
  <c r="CK42"/>
  <c r="CL42"/>
  <c r="CM42"/>
  <c r="CN42"/>
  <c r="CO42"/>
  <c r="CP42"/>
  <c r="CQ42"/>
  <c r="CR42"/>
  <c r="CS42"/>
  <c r="CT42"/>
  <c r="CU42"/>
  <c r="CX42"/>
  <c r="CY42"/>
  <c r="CZ42"/>
  <c r="DA42"/>
  <c r="DD42"/>
  <c r="DE42"/>
  <c r="DF42"/>
  <c r="DG42"/>
  <c r="DH42"/>
  <c r="DL42"/>
  <c r="DM42"/>
  <c r="DN42"/>
  <c r="DO42"/>
  <c r="DP42"/>
  <c r="DQ42"/>
  <c r="DR42"/>
  <c r="DS42"/>
  <c r="B42"/>
  <c r="DI42"/>
  <c r="DJ42"/>
  <c r="DB42"/>
  <c r="N278" i="1"/>
  <c r="N363"/>
  <c r="N360"/>
  <c r="N356"/>
  <c r="N355"/>
  <c r="N347"/>
  <c r="N364"/>
  <c r="N411"/>
  <c r="N481"/>
  <c r="P481"/>
  <c r="R481"/>
  <c r="N484"/>
  <c r="N421" s="1"/>
  <c r="N420" s="1"/>
  <c r="P484"/>
  <c r="P421" s="1"/>
  <c r="N502"/>
  <c r="N359"/>
  <c r="N226"/>
  <c r="DK42" i="6"/>
  <c r="DC42"/>
  <c r="CV42"/>
  <c r="CW42"/>
  <c r="N326" i="1"/>
  <c r="R24" l="1"/>
  <c r="R8" s="1"/>
  <c r="AY43" i="6"/>
  <c r="AX43"/>
  <c r="AV43"/>
  <c r="AW43"/>
  <c r="BV43"/>
  <c r="BW43"/>
  <c r="EX43"/>
  <c r="EY43"/>
  <c r="EY44"/>
  <c r="EX44"/>
  <c r="N410" i="1"/>
  <c r="N268"/>
  <c r="DF44" i="7"/>
  <c r="DU44"/>
  <c r="N208" i="1"/>
  <c r="P420"/>
  <c r="P410" s="1"/>
  <c r="P319"/>
  <c r="N24"/>
  <c r="N319"/>
  <c r="P24"/>
  <c r="P8" s="1"/>
  <c r="CL43" i="6"/>
  <c r="CF43"/>
  <c r="BD43"/>
  <c r="CM43"/>
  <c r="CG43"/>
  <c r="BE43"/>
  <c r="DH43"/>
  <c r="DB43"/>
  <c r="DC43"/>
  <c r="N345" i="1"/>
  <c r="N199"/>
  <c r="N353"/>
  <c r="N262"/>
  <c r="DI43" i="6"/>
  <c r="N8" i="1" l="1"/>
  <c r="N7" s="1"/>
  <c r="R7"/>
  <c r="R6" s="1"/>
  <c r="R570" s="1"/>
  <c r="P7"/>
  <c r="P344"/>
  <c r="N344"/>
  <c r="P6" l="1"/>
  <c r="P570" s="1"/>
  <c r="N6"/>
  <c r="N570" s="1"/>
</calcChain>
</file>

<file path=xl/sharedStrings.xml><?xml version="1.0" encoding="utf-8"?>
<sst xmlns="http://schemas.openxmlformats.org/spreadsheetml/2006/main" count="3740" uniqueCount="1510">
  <si>
    <t xml:space="preserve">Код строки
</t>
  </si>
  <si>
    <t xml:space="preserve">Код расхода по БК
</t>
  </si>
  <si>
    <t>1</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</si>
  <si>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</si>
  <si>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 xml:space="preserve">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
</t>
  </si>
  <si>
    <t>1.5.4.2.39. разработка и утверждение программ комплексного развития систем коммунальной инфраструктуры поселений, программ комплексного развития транспортной инфраструктуры поселений, программ комплексного развития социальной инфраструктуры поселений,  требования к которым устанавливаются Правительством Российской Федерации</t>
  </si>
  <si>
    <t xml:space="preserve">Российской Федерации
</t>
  </si>
  <si>
    <t>субъекта Российской Федерации</t>
  </si>
  <si>
    <t>плановый период</t>
  </si>
  <si>
    <t>номер статьи,(подстатьи), пункта (подпункта)</t>
  </si>
  <si>
    <t xml:space="preserve">дата вступления в силу и срок действия
</t>
  </si>
  <si>
    <t>раздел</t>
  </si>
  <si>
    <t>подраздел</t>
  </si>
  <si>
    <t>по плану</t>
  </si>
  <si>
    <t>по факту</t>
  </si>
  <si>
    <t>2</t>
  </si>
  <si>
    <t>3</t>
  </si>
  <si>
    <t>4</t>
  </si>
  <si>
    <t>5</t>
  </si>
  <si>
    <t>6</t>
  </si>
  <si>
    <t>7</t>
  </si>
  <si>
    <t>8</t>
  </si>
  <si>
    <t>10</t>
  </si>
  <si>
    <t>11</t>
  </si>
  <si>
    <t>12</t>
  </si>
  <si>
    <t>13</t>
  </si>
  <si>
    <t>14</t>
  </si>
  <si>
    <t>1000</t>
  </si>
  <si>
    <t xml:space="preserve">
x
</t>
  </si>
  <si>
    <t>1001</t>
  </si>
  <si>
    <t xml:space="preserve">
</t>
  </si>
  <si>
    <t>01</t>
  </si>
  <si>
    <t>06</t>
  </si>
  <si>
    <t>1005</t>
  </si>
  <si>
    <t>05</t>
  </si>
  <si>
    <t>02</t>
  </si>
  <si>
    <t>04</t>
  </si>
  <si>
    <t>09</t>
  </si>
  <si>
    <t>1007</t>
  </si>
  <si>
    <t>08</t>
  </si>
  <si>
    <t>03</t>
  </si>
  <si>
    <t>1015</t>
  </si>
  <si>
    <t>07</t>
  </si>
  <si>
    <t>1024</t>
  </si>
  <si>
    <t>1048</t>
  </si>
  <si>
    <t>1100</t>
  </si>
  <si>
    <t>1103</t>
  </si>
  <si>
    <t>1118</t>
  </si>
  <si>
    <t>1.3.1.6. создание условий для развития туризма</t>
  </si>
  <si>
    <t>1401</t>
  </si>
  <si>
    <t>1403</t>
  </si>
  <si>
    <t>1503</t>
  </si>
  <si>
    <t>Итого расходных обязательств муниципальных образований</t>
  </si>
  <si>
    <t>8000</t>
  </si>
  <si>
    <t>муниципального образования</t>
  </si>
  <si>
    <t>Федеральный Закон от 06.10.2003 № 131-ФЗ "Об общих принципах организации местного самоуправления"</t>
  </si>
  <si>
    <t>06.10.2003, не установлен</t>
  </si>
  <si>
    <t xml:space="preserve">Закон Томской области от 11 сентября 2007 г. N 198-ОЗ "О муниципальной службе в Томской области" </t>
  </si>
  <si>
    <t>ст. 11, п. 1</t>
  </si>
  <si>
    <t>01.01.2006, не установлен</t>
  </si>
  <si>
    <t>Федеральный Закон от 02.03.2007 № 25-ФЗ "О муниципальной службе в РФ"</t>
  </si>
  <si>
    <t>01.06.2007, не установлен</t>
  </si>
  <si>
    <t>01.01.2008, не установлен</t>
  </si>
  <si>
    <t>29.02.1993, не установлен</t>
  </si>
  <si>
    <t>01.01.2005, не установлен</t>
  </si>
  <si>
    <t>01.01.2009, не установлен</t>
  </si>
  <si>
    <t>Решение Думы Колпашевского района от 26.11.2008 № 564 "О введении новых систем оплаты труда" (в редакции от 13.02.2009 № 621, от 24.02.2009 № 623, от 28.08.2009 № 690, от 07.12.2009 № 741, от 24.12.2010 № 31, от 25.11.2011 № 138, от 24.05.2012 № 82, от 16.12.2013 № 117, от 28.05.2014 № 49, от 27.04.2015 № 33)</t>
  </si>
  <si>
    <t>в целом</t>
  </si>
  <si>
    <t>13.08.2014, не установлен</t>
  </si>
  <si>
    <t>п. 1</t>
  </si>
  <si>
    <t>23.04.2012, не установлен</t>
  </si>
  <si>
    <t>п.1-3</t>
  </si>
  <si>
    <t>ст. 15, п.1, п.п. 3</t>
  </si>
  <si>
    <t xml:space="preserve">
Гл. 1-2 Положения</t>
  </si>
  <si>
    <t xml:space="preserve">
13.07.2010, не установлен</t>
  </si>
  <si>
    <t>Решенин Думы Колпашевского района от 14.07.2006 № 181 "Об утверждении Положения об организации работ по содержанию и ремонту, автомобильных дорог общего пользования между населенными пунктами и дорожных сооружений вне границ населенных пунктов в границах МО "Колпашевский район" (в редакции от 17.07.2008 № 501, от 23.07.2008 № 514, от 29.09.2010 № 919)</t>
  </si>
  <si>
    <t>Гл. 2-6 Положения</t>
  </si>
  <si>
    <t>01.08.2006, не установлен</t>
  </si>
  <si>
    <t>01.01.2016- 31.12.2016</t>
  </si>
  <si>
    <t>01.01.2014, не установлен</t>
  </si>
  <si>
    <t>Гл.3, ст.15, п.1, п.п.5</t>
  </si>
  <si>
    <t>13.05.2010, не установлен</t>
  </si>
  <si>
    <t>Гл.3, ст.15, п.1, п.п.6</t>
  </si>
  <si>
    <t>Постановление Администрации Колпашевского района от 14.09.2015 № 931 "О порядке расходования иных межбюджетных трансфертов, представленных из областного бюджета, на финансовое обеспечение мероприятий по временному социально-бытовому обустройству лиц, вынужденно покинувших территорию Украины и находящихся в помещениях, закрепленных за муниципальными учреждениями на праве оперативного управления или принадлежащих им на ином праве, определенных в качестве пунктов временного размещения" (в редакции от 30.09.2015 № 1001)</t>
  </si>
  <si>
    <t>14.09.2015- 25.12.2015</t>
  </si>
  <si>
    <t>Решение Думы Колпашевского района от 27.02.2007 № 297 "Об утверждении Положения о формировании, пополнении и учете районного страхового (аварийного) запаса материально-технических ресурсов для предприятий ЖКХ Колпашевского района" (от 26.12.2007 № 408)</t>
  </si>
  <si>
    <t>п.3 Положения</t>
  </si>
  <si>
    <t>27.02.2007- не установлен</t>
  </si>
  <si>
    <t>п.1</t>
  </si>
  <si>
    <t>10.09.2012, не установлен</t>
  </si>
  <si>
    <t>Решение Думы Колпашевского района от 23.04.2012 № 46 "О порядке расходования денежных средств, выделенных бюджету муниципального образования "Колпашевский район" из бюджета Томской области"</t>
  </si>
  <si>
    <t>Федеральный Закон от 21.12.1994 № 68-ФЗ "О защите населения и территорий от чрезвычайных ситуаций природного и техногенного характера"</t>
  </si>
  <si>
    <t>ст. 24</t>
  </si>
  <si>
    <t>24.12.1994, не установлен</t>
  </si>
  <si>
    <t>Закон Томской области от 11.11.2005 N 206-ОЗ "О защите населения и территорий Томской области от чрезвычайных ситуаций природного и техногенного характера"</t>
  </si>
  <si>
    <t>03.12.2005, не установлен</t>
  </si>
  <si>
    <t>в том числе:</t>
  </si>
  <si>
    <t>Решение Думы Колпашевского района от 29.11.2006 № 236 "Об утверждении Положения о порядке утилизации и переработки твердых бытовых отходов и промышленных отходов III-IV класса опасности и о порядке размещения, обустройства и содержания полигонов и санкционированных объектов в МО "Колпашевский район" (в редакции от 02.07.2009 № 682, от 16.12.2013 № 129)</t>
  </si>
  <si>
    <t>п.1-3 Положения</t>
  </si>
  <si>
    <t>01.07.2007, не установлен</t>
  </si>
  <si>
    <t xml:space="preserve">Решение Думы Колпашевского района от 29.11.2006 № 236 "Об утверждении Положения о порядке утилизации и переработки твердых бытовых отходов и промышленных отходов III-IV класса опасности и о порядке размещения, обустройства и содержания полигонов и санкционированных объектов в МО "Колпашевский район" (в редакции от 02.07.2009 № 682, от 16.12.2013 № 129)
</t>
  </si>
  <si>
    <t>Гл.3, ст.15, п.1, п.п. 14</t>
  </si>
  <si>
    <t>Постановление Администрации Томской области от 05.06.2014 N 215а "О Порядке предоставления иных межбюджетных трансфертов на приобретение модульных фельдшерско-акушерских пунктов"</t>
  </si>
  <si>
    <t>05.06.2014- 31.12.2014</t>
  </si>
  <si>
    <t>Решение Думы Колпашевского района от 26.01.2015 № 8 "Об утверждении положения о создании условий для оказания медицинской помощи населению на территории Колпашевского района в соответствии с территориальной программой государственных гарантий бесплатного оказания гражданам медицинской помощи"</t>
  </si>
  <si>
    <t>26.01.2015, не установлен</t>
  </si>
  <si>
    <t xml:space="preserve">Постановление Администрации Колпашеского района от 01.10.2014 № 1130 "О порядке расходования межбюджетного трансферта из областного бюджета бюджету муниципального образования «Колпашевский район» на приобретение модульных фельдшерско-акушерских пунктов" (в редакции от 19.12.2014 № 1534, от 27.12.2014 № 1160, от 04.03.2015 № 266)
</t>
  </si>
  <si>
    <t>01.10.2014- 31.03.2015</t>
  </si>
  <si>
    <t>Гл.3, ст.15, п. 1, п.п. 16</t>
  </si>
  <si>
    <t>Решение Думы Колпашевского района от 28.12.2005 № 50 "Об утверждении Положения о муниципальном архиве Колпашевского района"</t>
  </si>
  <si>
    <t>Гл.3, ст.15, часть 1, п.19.1</t>
  </si>
  <si>
    <t>ст. 10</t>
  </si>
  <si>
    <t>08.07.2007, не установлен</t>
  </si>
  <si>
    <t>Постановление Администрации Колпашевского района от 30.12.2013 № 1404 "Об утверждении муниципальной программы "Развитие культуры в Колпашевском районе на 2014-2017 годы" (в редакции от 21.03.2014 № 269, от 20.06.2014 № 584, от 24.09.2014 № 916, от 13.10.2014 № 1181, от 07.11.2014 № 1293, от 14.11.2014 № 1322, от 17.12.2014 № 1492, от 30.12.2014 № 1643, от 06.03.2015 № 276, от 13.04.2015 № 399, от 29.07.2015 № 732, от 29.09.2015 № 997, от 29.10.2015 № 1096, от 17.12.2015 № 1320)</t>
  </si>
  <si>
    <t>01.01.2014- 31.12.2017</t>
  </si>
  <si>
    <t>01.01.2015, не установлен</t>
  </si>
  <si>
    <t>Гл.3, ст.15, п.1, п.п. 25</t>
  </si>
  <si>
    <t>01.01.2013, не установлен</t>
  </si>
  <si>
    <t>Решение Думы Колпашевскогот района от 29.04.2013 № 35 "О порядке использования средств бюджета муниципального образования "Колпашевский район" на реализацию мероприятий, направленных на содействие развитию малого и среднего предпринимательства" (в редакции от 05.09.2013 № 72, от 13.08.2014 № 76)</t>
  </si>
  <si>
    <t>29.04.2013, не установлен</t>
  </si>
  <si>
    <t>29.04.2013- 31.12.2020</t>
  </si>
  <si>
    <t>ст. 1</t>
  </si>
  <si>
    <t>Постановление Администрации Колпашевского района от 31.03.2016 № 334 "Об утверждении муниципальной программы "Развитие молодежной политики, физической культуры и массового спорта на территории муниципального образования "Колпашевский район"</t>
  </si>
  <si>
    <t>01.01.2016- 31.12.2021</t>
  </si>
  <si>
    <t>Гл.3, ст.15, п.1, п.п.26</t>
  </si>
  <si>
    <t xml:space="preserve">п. 2-5 Положения,      </t>
  </si>
  <si>
    <t>30.03.2007, не установлен</t>
  </si>
  <si>
    <t xml:space="preserve">Федеральный Закон от 06.10.2003 № 131-ФЗ "Об общих принципах организации местного самоуправления" </t>
  </si>
  <si>
    <t>Гл.3, ст.15, п.1, п.п.27</t>
  </si>
  <si>
    <t>01.01.2007, не установлен</t>
  </si>
  <si>
    <t>Программа</t>
  </si>
  <si>
    <t>01.01.2016- 31.12.2020</t>
  </si>
  <si>
    <t>(684)</t>
  </si>
  <si>
    <t>Решение Думы Колпашевского района от 15.12.2014 № 161 "О порядке расходования денежных средств, выделенных бюджету муниципального образования "Колпашевский район" на осуществление переданных полномочий по решению вопросов местного значения поселений Колпашевского района"</t>
  </si>
  <si>
    <t>Решение Думы Колпашевского района от 15.12.2014 № 160 "Об организации библиотечного обслуживания населения сельских поселений Колпашевского района, комплектовании и обеспечении сохранности библиотечных фондов библиотек сельских поселений Колпашевского района"</t>
  </si>
  <si>
    <t>Постановление Администрации Колпашевского района от 30.01.2015 № 79 "Об утверждении Порядка расходования иных межбюджетных трансфертов, выделяемых бюджету муниципального образования "Колпашевский район" на осуществление переданных полномочий по решению вопроса местного значения по организации библиотечного обслуживания населения, комплектованию и обеспечению сохранности библиотечных фондов библиотек Колпашевского городского поселения"</t>
  </si>
  <si>
    <t>ст. 34</t>
  </si>
  <si>
    <t>ст. 9-13</t>
  </si>
  <si>
    <t>Решение Думы Колпашевского района от 08.10.2005 № 418 "Об утверждении положений " (Приложение 1)</t>
  </si>
  <si>
    <t xml:space="preserve">п.2-4 Положения </t>
  </si>
  <si>
    <t xml:space="preserve">01.01.2006, не установлен </t>
  </si>
  <si>
    <t>ст.34, п.9</t>
  </si>
  <si>
    <t>06.10.2003, не утановлен</t>
  </si>
  <si>
    <t>п.1-2</t>
  </si>
  <si>
    <t>31.05.2006, не установлен</t>
  </si>
  <si>
    <t>Решение Думы Колпашевского района от 25.03.2015 № 30 "О порядке расходования денежных средств, выделенных бюджету муниципального образования "Колпашевский район" на осуществление переданных полномочий по решению вопросов местного значения"</t>
  </si>
  <si>
    <t>ст.17, п.1, п.п. 3</t>
  </si>
  <si>
    <t>Решение Думы Колпашевского района от 14.07.2006 № 176 "О финансировании расходов, связанных с размещением заказа на поставку товаров, выполнение работ и оказание услуг для муниципальных нужд" (в редакции от 28.04.2008 № 467)</t>
  </si>
  <si>
    <t>п. 1-4</t>
  </si>
  <si>
    <t>14.07.2006, не установлен</t>
  </si>
  <si>
    <t>Постановление Правительства РФ от 30.12.2003 N 794 "О единой государственной системе предупреждения и ликвидации чрезвычайных ситуаций"</t>
  </si>
  <si>
    <t>п.8, п.9, п.20, п.30</t>
  </si>
  <si>
    <t>20.01.2004, не установлен</t>
  </si>
  <si>
    <t>Постановление Администрации Томской области от 17.08.2007 N 122а "Об утверждении Положения о территориальной подсистеме единой государственной системы предупреждения и ликвидации чрезвычайных ситуаций Томской области"</t>
  </si>
  <si>
    <t>п. 32</t>
  </si>
  <si>
    <t>17.08.2007, не установлен</t>
  </si>
  <si>
    <t>Постановление Администрации Колпашевского района от 20.11.2015 № 1176 "Об утверждении положения о единой дежурно-диспетчерской службе Колпашевского района"</t>
  </si>
  <si>
    <t>20.11.2015, не установлен</t>
  </si>
  <si>
    <t>ст.57, п.1, п.2</t>
  </si>
  <si>
    <t>25.06.2002, не установлен</t>
  </si>
  <si>
    <t>ст. 22, п.1</t>
  </si>
  <si>
    <t>29.01.2007, не установлен</t>
  </si>
  <si>
    <t>Федеральный закон от 26.11.1996 № 138-ФЗ "Об обеспечении конституционных прав граждан Российской Федерации избирать и быть избранными в органы местного самоуправления"</t>
  </si>
  <si>
    <t>ст.4, п.4</t>
  </si>
  <si>
    <t>02.12.1996, не установлен</t>
  </si>
  <si>
    <t>Закон Томской области от 14.02.2005 № 29-ОЗ "О муниципальных выборах в Томской области"</t>
  </si>
  <si>
    <t>ст. 46, п.1</t>
  </si>
  <si>
    <t>26.02.2005, не установлен</t>
  </si>
  <si>
    <t>с. 17, п.1, п.п. 5</t>
  </si>
  <si>
    <t>Закон Томской области от 10.04.2003 № 50-ОЗ "Об избирательных комиссиях, комиссиях референдума в Томской области"</t>
  </si>
  <si>
    <t>ст.15, п.1</t>
  </si>
  <si>
    <t>06.05.2003, не установлен</t>
  </si>
  <si>
    <t>Федеральный закон от 10.01.2003 № 20-ФЗ "О Государственной автоматизированной системе Российской Федерации "Выборы"</t>
  </si>
  <si>
    <t>ст.25, п.1, п.2</t>
  </si>
  <si>
    <t>24.01.2003, не установлен</t>
  </si>
  <si>
    <t>Гл.3, ст.17, п. 1, п.п. 8.1.</t>
  </si>
  <si>
    <t>Решение Думы Колпашевского района от 08.10.2005 № 417 "О Положении об организации профессиональной подготовки кадров органов местного самоуправления Колпашевского района и работников органов Администрации Колпашевского района" (в редакции от 17.06.2013 № 57)</t>
  </si>
  <si>
    <t>п. 1-3</t>
  </si>
  <si>
    <t xml:space="preserve">01.01.2012, не установлен </t>
  </si>
  <si>
    <t>(659)</t>
  </si>
  <si>
    <t>Постановление Администрации Томской области от 28.12.2012 N 544а "О порядке предоставления иных межбюджетных трансфертов на оказание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Великой Отечественной войны 1941-1945 годов, не вступивших в повторный брак"</t>
  </si>
  <si>
    <t>п. 1,3</t>
  </si>
  <si>
    <t>Решение Думы Колпашевского района от 26.01.2015 № 8 "Об утверждении положения о создании условий для оказания медицинской помощи населению на территории Колпашевского района в соответствии с территориальной программой государственных гарантий бесплатного оказания гражданам медицинской помощи" (в редакции от 27.11.2015 № 39)</t>
  </si>
  <si>
    <t>Федеральный Закон от 12.01.1996 № 7-ФЗ "О некоммерческих организациях"</t>
  </si>
  <si>
    <t>ст. 31</t>
  </si>
  <si>
    <t>24.01.1996, не установлен</t>
  </si>
  <si>
    <t>Решение Думы Колпашевского района от 25.11.2013 № 107 "О финансировании за счет средств бюджета МО "Колпашевский район" мероприятий направленных на поддержку социально-орентированных некомерческих организаций, не являющихся муниципальными учреждениями" (в редакции от 15.12.2014 № 154)</t>
  </si>
  <si>
    <t>25.11.2013, не установлен</t>
  </si>
  <si>
    <t>Федеральный закон от 21 декабря 1996 г. N 159-ФЗ "О дополнительных гарантиях по социальной поддержке детей-сирот и детей, оставшихся без попечения родителей"</t>
  </si>
  <si>
    <t>ст.8</t>
  </si>
  <si>
    <t>23.12.1998, не установлен</t>
  </si>
  <si>
    <t>Решение Думы Колпашевского района от 25.11.2011 № 150 "О порядке расходования бюджетных ассигнований, выделенных бюджету муниципального образования «Колпашевский район» из бюджета Томской области на исполнение судебных решений"</t>
  </si>
  <si>
    <t>25.11.2011, не установлен</t>
  </si>
  <si>
    <t>ст.15.1, п.2</t>
  </si>
  <si>
    <t>Ст. 4, п. 2,3 Положения</t>
  </si>
  <si>
    <t>Решение Думы Колпашевского района от 31.10.2006 № 222 "Об утверждении положения о присвоении звания "Человек года" на территории муниципального образования "Колпашевский район"</t>
  </si>
  <si>
    <t>Гл. 6- 9 Положения</t>
  </si>
  <si>
    <t>31.10.2006, не установлен</t>
  </si>
  <si>
    <t>п.2</t>
  </si>
  <si>
    <t>19.12.2012, не установлен</t>
  </si>
  <si>
    <t>Закон Томской области от 07.09.2009 N 169-ОЗ "О взаимодействии органов государственной власти Томской области с Ассоциацией "Совет муниципальных образований Томской области"</t>
  </si>
  <si>
    <t>ст. 6,7</t>
  </si>
  <si>
    <t>26.09.2009, не установлен</t>
  </si>
  <si>
    <t>Решение Думы Колпашевского района от 28.02.2006 № 82 "О вступлении в Совет Муниципальных образований Томской области" (в редакции от 22.12.2006 № 255, от 26.02.2010 № 814 )</t>
  </si>
  <si>
    <t>28.02.2006, не установлен</t>
  </si>
  <si>
    <t>Федеральный закон от 20.08.2004 N 113-ФЗ "О присяжных заседателях федеральных судов общей юрисдикции в Российской Федерации"</t>
  </si>
  <si>
    <t>ст. 5, п. 14</t>
  </si>
  <si>
    <t>23.08.2004, не установлен</t>
  </si>
  <si>
    <t xml:space="preserve">Закон Томской области от 29.12.2007 N 320-ОЗ "Об утверждении Методики распределения субвенций между бюджетами муниципальных образований Томской области на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в Российской Федерации" </t>
  </si>
  <si>
    <t xml:space="preserve">Постановление Администрации Колпашевского района от 30.06.2010 № 862 "Об установлении расходных обязательств по осуществлению отдельных государственных полномочий по составлению (изменению и дополнению) списков кандидатов в присяжные заседатели федеральных судов общей юрисдикции в РФ"         </t>
  </si>
  <si>
    <t>01.07.2010 - до окончания срока действия ЗТО от 29.12.2007 № 320-ОЗ</t>
  </si>
  <si>
    <t>Федеральный закон от 22.10.2004 N 125-ФЗ "Об архивном деле в Российской Федерации"</t>
  </si>
  <si>
    <t>27.10.2004, не установлен</t>
  </si>
  <si>
    <t xml:space="preserve">Закон Томской области от 10.11.2006 N 261-ОЗ "О наделении органов местного самоуправления отдельными государственными полномочиями по хранению, комплектованию, учету и использованию архивных документов, относящихся к собственности Томской области" </t>
  </si>
  <si>
    <t>вводиться в действие ежегодно</t>
  </si>
  <si>
    <t>п.1-4</t>
  </si>
  <si>
    <t>01.07.2010, до окончания срока действия ЗТО от 10.11.2006 № 261-ОЗ</t>
  </si>
  <si>
    <t xml:space="preserve">Закон Томской области от 14.10.2005 N 191-ОЗ "О наделении органов местного самоуправления отдельными государственными полномочиями по расчету и предоставлению дотаций поселениям Томской области за счет средств областного бюджета" </t>
  </si>
  <si>
    <t>п. 1-5</t>
  </si>
  <si>
    <t xml:space="preserve">Постановление Администрации Колпашевского района от 29.06.2010 № 845 "Об установлении расходных обязательств по осуществлению отдельных государственных полномочий по расчету и предоставлению дотаций поселениям, входящим в состав МО "Колпашевский район" </t>
  </si>
  <si>
    <t>01.07.2010, до окончания действия ЗТО от 14.10.2005 № 191-ОЗ</t>
  </si>
  <si>
    <t>Федеральный закон от 29 декабря 2012 г. N 273-ФЗ
"Об образовании в Российской Федерации"</t>
  </si>
  <si>
    <t>01.09.2013, не установлен</t>
  </si>
  <si>
    <t>ст.47, ч.5, п.7</t>
  </si>
  <si>
    <t>Закон Томской области от 15.12.2004 N 248-ОЗ "О наделении органов местного самоуправления отдельными государственными полномочиями по выплате надбавок к тарифной ставке (должностному окладу) педагогическим работникам и руководителям муниципальных образовательных учреждений"</t>
  </si>
  <si>
    <t>ст. 2-5</t>
  </si>
  <si>
    <t>01.01.2006 вводится в действие ежегодно</t>
  </si>
  <si>
    <t>Постановление Администрации Колпашевского района  от 26.06.2010 № 829 "Об установлении расходных обязательств по осуществлению отдельных государственных полномочий по выплате надбавок к тарифной ставке (должностному окладу) педагогическим работникам и руководителм МОУ" (в редакции от 28.11.2013 № 1232)</t>
  </si>
  <si>
    <t xml:space="preserve">01.07.2010-до окончания срока действия ЗТО от 15.12.2004 № 248-ОЗ </t>
  </si>
  <si>
    <t>ст. 8</t>
  </si>
  <si>
    <t xml:space="preserve">Закон Томской области от 11.09.2007 N 188-ОЗ "О наделении органов местного самоуправления государственными полномочиями по обеспечению жилыми помещениями детей-сирот и детей, оставшихся без попечения родителей, а также лиц из их числа, не имеющих закрепленного жилого помещения" </t>
  </si>
  <si>
    <t>ст. 3,6</t>
  </si>
  <si>
    <t>01.01.2008, вводиться ежегодно ЗТО "Об областном бюджете на очередной финансовый год"</t>
  </si>
  <si>
    <t>Постановление Администрации Колпашевского района от 30.06.2010 № 863 "Об установлении расходных обязательств по осуществлению отдельных государственных полномочий" (в редакцтт от 19.06.2012 № 577, от 13.02.2013 № 119)</t>
  </si>
  <si>
    <t xml:space="preserve">01.07.2010, до окончания срока действия ЗТО от 11.09.2007 № 188-ОЗ </t>
  </si>
  <si>
    <t>Федеральный закон от 24.04.2008 N 48-ФЗ "Об опеке и попечительстве"</t>
  </si>
  <si>
    <t>01.09.2008, не установлен</t>
  </si>
  <si>
    <t>Закон Томской области от 15.12.2004 N 246-ОЗ "О наделении органов местного самоуправления отдельными государственными полномочиями в области социальной поддержки в отношении детей-сирот и детей, оставшихся без попечения родителей, а также лиц из числа детей-сирот и детей, оставшихся без попечения родителей"</t>
  </si>
  <si>
    <t>ст.1 п.п.1)</t>
  </si>
  <si>
    <t>п.1.3.</t>
  </si>
  <si>
    <t xml:space="preserve">01.07.2010- до окончания срока действия ЗТО от 15.12.2004 № 246-ОЗ </t>
  </si>
  <si>
    <t>ст.47</t>
  </si>
  <si>
    <t>Закон Томской области от 09.12.2013 N 214-ОЗ "О наделении органов местного самоуправления отдельными государственными полномочиями по обеспечению обучающихся с ограниченными возможностями здоровья, проживающих в муниципальных (частных) образовательных организациях, осуществляющих образовательную деятельность по основным общеобразовательным программам, питанием, одеждой, обувью, мягким и жестким инвентарем и обеспечению обучающихся с ограниченными возможностями здоровья, не проживающих в муниципальных (частных) образовательных организациях, осуществляющих образовательную деятельность по основным общеобразовательным программам, бесплатным двухразовым питанием"</t>
  </si>
  <si>
    <t>ст.5</t>
  </si>
  <si>
    <t>01.01.2014, вводится в действие ежегодно ЗТО о бюджете ТО</t>
  </si>
  <si>
    <t>01.01.2014, до окончания действия ЗТО от 09.12.2013 № 214-ОЗ</t>
  </si>
  <si>
    <t>Федеральный закон от 21 декабря 1996 г. N 159-ФЗ
"О дополнительных гарантиях по социальной поддержке детей-сирот и детей, оставшихся без попечения родителей"</t>
  </si>
  <si>
    <t>23.12.1996, не установлен</t>
  </si>
  <si>
    <t>ст.1 п.п.5)</t>
  </si>
  <si>
    <t>вводится в действие ежегодно</t>
  </si>
  <si>
    <t>п.1.3</t>
  </si>
  <si>
    <t>01.07.2010, до окончания срока действия ЗТО от 15.12.2004 № 246-ОЗ</t>
  </si>
  <si>
    <t>Кодекс Российской Федерации об административных правонарушениях
от 30 декабря 2001 г. N 195-ФЗ</t>
  </si>
  <si>
    <t>ст.22.1</t>
  </si>
  <si>
    <t>01.07.2002, не установлен</t>
  </si>
  <si>
    <t>Закон Томской области от 24.11.2009 N 261-ОЗ "О наделении органов местного самоуправления отдельными государственными полномочиями по созданию и обеспечению деятельности административных комиссий в Томской области"</t>
  </si>
  <si>
    <t>ст.4</t>
  </si>
  <si>
    <t>Постановление Администрации Колпашевского района от 30.06.2010 № 865 "Об установлении расходного обязательства МО "Колпашевский район" по осуществлению отдельных государственных полномочий по созданию и обеспечению деятельности административных комиссий"</t>
  </si>
  <si>
    <t>01.07.2010, до окончания срока действия ЗТО от 24.11.2009 № 261-ОЗ</t>
  </si>
  <si>
    <t>Федеральный закон от 24.06.1999 N 120-ФЗ "Об основах системы профилактики безнадзорности и правонарушений несовершеннолетних"</t>
  </si>
  <si>
    <t>ст. 2, п.п.2; ст. 11, п.п. 1;  ст. 25, п.п. 1, п.п. 3</t>
  </si>
  <si>
    <t>28.06.1999, не установлен</t>
  </si>
  <si>
    <t>Закон Томской области от 29.12.2005 N 241-ОЗ "О наделении органов местного самоуправления государственными полномочиями по созданию и обеспечению деятельности комиссий по делам несовершеннолетних и защите их прав"</t>
  </si>
  <si>
    <t>Ст. 1-3</t>
  </si>
  <si>
    <t>вводится ежегодно ЗТО об областном бюджете на очередной финансовый год</t>
  </si>
  <si>
    <t>Постановление Администрации Колпашевского района от 30.06.2010 № 860 "Об установлении расходного обязательства муниципального образования "Колпашевский район" по осуществлению отдельных государственных полномочий по созданию и обеспечению деятельности комиссий по делам несовершенннолетних и защите их прав"</t>
  </si>
  <si>
    <t>01.07.2010, до окончания срока действия ЗТО от 29.12.2005 № 241-ОЗ</t>
  </si>
  <si>
    <t>27.12.1998, не установлен</t>
  </si>
  <si>
    <t>Закон Томской области от 28.12.2007 № 298-ОЗ "О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в Томской области"</t>
  </si>
  <si>
    <t>01.01.2008, вводится ежегодно ЗТО об областном бюджете на очередной финансовый год</t>
  </si>
  <si>
    <t>01.07.2010, до окнчания срока действия ЗТО от 28.12.2007 № 298-ОЗ</t>
  </si>
  <si>
    <t xml:space="preserve">Закон Томской области от 07.07.2009 N 104-ОЗ "О наделении органов местного самоуправления отдельными государственными полномочиями по предоставлению, переоформлению и изъятию горных отводов для разработки месторождений и проявлений общераспространенных полезных ископаемых" </t>
  </si>
  <si>
    <t>ст. 7 п.1</t>
  </si>
  <si>
    <t>Постановление Администрации Колпашевского района от 30.06.2010 № 866 "Об установлении расходного обязательства МО "Колпашевский район" по осуществлению отдельных государственных полномочий по предоставлению, переоформлению и изъятию горных отводов для разработки месторождений и проявлений общераспространенных полезных ископаемых в Томской области"</t>
  </si>
  <si>
    <t>01.07.2010- до окончания срока действия ЗТО от 07.07.2009 № 104-ОЗ</t>
  </si>
  <si>
    <t>Закон Томской области от 09.12.2013 N 216-ОЗ "О наделении органов местного самоуправления отдельными государственными полномочиями по регистрации коллективных договоров"</t>
  </si>
  <si>
    <t>Постановление Администрации Колпашевского района от 30.12.2013 № 1405 "Об установлении расходных обязательств по осуществлению отдельных государственных полномочий по регистрации коллективных договоров"</t>
  </si>
  <si>
    <t>01.01.2014, до окончания срока действия ЗТО от 09.12.2013 № 216-ОЗ</t>
  </si>
  <si>
    <t>Постановление Главного государственного санитарного врача РФ от 6 мая 2010 г. N 54
"Об утверждении СП 3.1.7.2627-10"</t>
  </si>
  <si>
    <t>раздел IX, п. 9.2.</t>
  </si>
  <si>
    <t>06.05.2010, не установлен</t>
  </si>
  <si>
    <t xml:space="preserve">Закон Томской области от 11.04.2013 N 51-ОЗ "О наделении органов местного самоуправления отдельными государственными полномочиями по регулированию численности безнадзорных животных" </t>
  </si>
  <si>
    <t>01.06.2013, вводится в действие ежегодно ЗТО о бюджете ТО</t>
  </si>
  <si>
    <t>Постановление Администрации Колпашевского района от 02.07.2013 № 625 "Об установлении расходного обязательства муниципального образования "Колпашевский район" по осуществлению отдельных государственных полномочий по Томской области по регулированию численности безнадзорных животных на территории муниципального образования "Колпашевский район"</t>
  </si>
  <si>
    <t>01.06.2013, до окончания действия ЗТО от 11.04.2013 № 51-ОЗ</t>
  </si>
  <si>
    <t xml:space="preserve">Закон Томской области от 18.03.2003 N 36-ОЗ "О наделении органов местного самоуправления Томской области отдельными государственными полномочиями по регулированию тарифов на перевозки пассажиров и багажа всеми видами общественного транспорта в городском, пригородном и междугородном сообщении (кроме железнодорожного транспорта) по городским, пригородным и междугородным муниципальным маршрутам" </t>
  </si>
  <si>
    <t>ст. 2-4</t>
  </si>
  <si>
    <t>01.05.2006 вводиться в действие ежегодно</t>
  </si>
  <si>
    <t>п.1-6</t>
  </si>
  <si>
    <t>01.07.2010-До окончания срока действия ЗТО от 18.03.2003 № 36-ОЗ</t>
  </si>
  <si>
    <t>Закон Томской области от 09.12.2013 N 213-ОЗ "О наделении органов местного самоуправления отдельными государственными полномочиями по обеспечению предоставления бесплатной методической, психолого педагогической, диагностической и консультативной помощи, в том числе в дошкольных образовательных организациях и общеобразовательных организациях, если в них созданы соответствующие консультационные центры, родителям (законным представителям) несовершеннолетних обучающихся, обеспечивающих получение детьми дошкольного образования в форме семейного образования"</t>
  </si>
  <si>
    <t>01.09.2013, вводится в действие ежегодно ЗТО о бюджете ТО</t>
  </si>
  <si>
    <t>Постановление Администрации Колпашевского района от 15.01.2014 № 15 "Об установлении расходных обязательств по осуществлению отдельных государственных полномочий, переданных в соответствии с Законом Томской области от 09.12.2013 № 213-ОЗ"</t>
  </si>
  <si>
    <t>01.01.2014, до окончания действия ЗТО от 09.12.2013 № 213-ОЗ</t>
  </si>
  <si>
    <t>Федеральный закон от 25.10.2002 № 125-ФЗ "О жилищных субсидиях гражданам, выезжающим из районов Крайнего Севера и приравненных к ним местностей"</t>
  </si>
  <si>
    <t>ст. 3</t>
  </si>
  <si>
    <t>01.01.2003, не установлен</t>
  </si>
  <si>
    <t xml:space="preserve">Закон Томской области от 13.04.2006 N 73-ОЗ "О наделении органов местного самоуправления государственными полномочиями по регистрации и учету граждан, имеющих право на получение социальных выплат для приобретения жилья в связи с переселением из районов Крайнего Севера и приравненных к ним местностей" </t>
  </si>
  <si>
    <t>08.05.2006, вводиться ежегодно ЗТО "Об областном бюджете на очередной финансовый год"</t>
  </si>
  <si>
    <t>Постановление Администрации Колпашевского района от 30.06.2010 № 861 "Об установлении расходного бязательства МО "Колпашевский район" по осуществлению государственных полномочий по регистрации и учету граждан, имеющих право на получение социальных выплат для приобретения жилья в связи с переселением из районов Крайнего Севера и приравненных к ним местностей"</t>
  </si>
  <si>
    <t>01.01.2011, не установлен</t>
  </si>
  <si>
    <t>01.01.2013 не установлен</t>
  </si>
  <si>
    <t>Гл.3, ст.15, п. 1, п.п. 20</t>
  </si>
  <si>
    <t>ст. 15</t>
  </si>
  <si>
    <t>16.07.2012, не установлен</t>
  </si>
  <si>
    <t>Федеральный закон от 28.03.1998 N 53-ФЗ "О воинской обязанности и военной службе"</t>
  </si>
  <si>
    <t>ст. 8, п. 2</t>
  </si>
  <si>
    <t>30.03.1998, не установлен</t>
  </si>
  <si>
    <t>21.12.2015- 25.12.2015</t>
  </si>
  <si>
    <t>(320)</t>
  </si>
  <si>
    <t>1939 (357)</t>
  </si>
  <si>
    <t>Решение Думы Колпашевского района от 21.12.2015 № 51 "О предоставлении иных межбюджетных трансфертов поселениям Колпашевского района на разработку программ комплексного развития коммунальной инфраструктуры"</t>
  </si>
  <si>
    <t>(617)</t>
  </si>
  <si>
    <t xml:space="preserve">ст. 15, ч. 1, п 11.                                                                                                                                                                          </t>
  </si>
  <si>
    <t>ст. 22</t>
  </si>
  <si>
    <t>Решение Думы Колпашевского района от 28.08.2009 № 691 "О введении НСОТ работников муниципальных общеобразовательных учреждений" (в редакции от 07.12.2009 № 742, от 25.12.2009 № 755, от 24.05.2010 № 838, от 24.05.2012 № 83, от 28.05.2014 № 50, от 27.04.2015 № 35)</t>
  </si>
  <si>
    <t xml:space="preserve">01.09.2013, не установлен </t>
  </si>
  <si>
    <t xml:space="preserve">Закон Томской области от 28.12.2010 N 336-ОЗ "О предоставлении межбюджетных трансфертов" </t>
  </si>
  <si>
    <t>абз 7 п.1 ст.1</t>
  </si>
  <si>
    <t>(570)</t>
  </si>
  <si>
    <t>ст. 23</t>
  </si>
  <si>
    <t>Решение Думы Колпашевского района от 26.01.2015 № 1 "Об утверждении Положения о порядке финансирования расходов на создание условий для осуществления присмотра и ухода за детьми, содержание детей в муниципальных образовательных организациях муниципального образования "Колпашевский район" за счет средств бюджета муниципального образования "Колпашевский район"  (в редакции решения от 29.02.2016 № 7)</t>
  </si>
  <si>
    <t>20.03.2013, не установлен</t>
  </si>
  <si>
    <t>(578)</t>
  </si>
  <si>
    <t>01.09.2019, не установлен</t>
  </si>
  <si>
    <t>01.01.2010, не установлен</t>
  </si>
  <si>
    <t>01.04.2013, не установлен</t>
  </si>
  <si>
    <t>(574)</t>
  </si>
  <si>
    <t>(683)</t>
  </si>
  <si>
    <t>(679)</t>
  </si>
  <si>
    <t xml:space="preserve"> ст. 47, ч.5, п. 7</t>
  </si>
  <si>
    <t>(612)</t>
  </si>
  <si>
    <t xml:space="preserve"> 01.09.2013, не установлен </t>
  </si>
  <si>
    <t xml:space="preserve"> ст. 36, ч.14</t>
  </si>
  <si>
    <t>(660)</t>
  </si>
  <si>
    <t>ст. 15, п.1, п.п. 4</t>
  </si>
  <si>
    <t>Гл.3, ст.15, п.1, п.п.6.2.</t>
  </si>
  <si>
    <t>Гл.3, ст.15, п.1, п.п. 9</t>
  </si>
  <si>
    <t xml:space="preserve">ст. 15, п. 1, п.п 11.                                                                                                                                                                          </t>
  </si>
  <si>
    <t>ст. 22, 23, 24</t>
  </si>
  <si>
    <t xml:space="preserve">ст. 15, п.1, п.п. 11.                                                                                                                                                                                </t>
  </si>
  <si>
    <t>ст. 15, ч.1, п. 11.</t>
  </si>
  <si>
    <t xml:space="preserve">  ст. 9, ч.1, п. 2,5</t>
  </si>
  <si>
    <t>Решение Думы Колпашевского района от 10.12.2005 № 31 "Об утверждении Положения об организации предоставления дополнительного образования и финансирования учреждений дополнительного образования детей в Колпашевском районе" (в редакции решений от 29.05.2015 № 44, от 29.02.2016 № 8)</t>
  </si>
  <si>
    <t xml:space="preserve">Закон Томской области от 12.08.2013 № 149-ОЗ "Об образовании в Томской области" </t>
  </si>
  <si>
    <t xml:space="preserve"> Федеральный закон от 29.12.2012 № 273-ФЗ "Об образовании в Российской Федерации" </t>
  </si>
  <si>
    <t>Федеральный закон от 06.10.2003 № 131-ФЗ "Об общих принципах организации местного самоуправления в РФ"</t>
  </si>
  <si>
    <t>Гл.3, ст.15, п.1, п.п.12</t>
  </si>
  <si>
    <t>Гл.3, ст.15, часть 1, п.19.2</t>
  </si>
  <si>
    <t>Решение Думы Колпашевского района от 25.12.2009 № 774 "О порядке использования средств бюджета муниципального образования "Колпашевский район" на реализацию мероприятий по созданию условий для развития местного традиционного народного художественного творчества в поселениях, входящих в состав Колпашевского района" (в редакции от 16.04.2010 № 824, от 23.04.2012 № 66, от 28.04.2014 № 40, от 15.12.2014 № 152, от 25.03.2015 № 28)</t>
  </si>
  <si>
    <t xml:space="preserve">Закон Томской области от 11.09.2007 N 198-ОЗ "О муниципальной службе в Томской области" </t>
  </si>
  <si>
    <t xml:space="preserve">Закон Томской области от 14.05.2005 N 78-ОЗ "О гарантиях и компенсациях за счет средств областного бюджета для лиц, проживающих в местностях, приравненных к районам Крайнего Севера" </t>
  </si>
  <si>
    <t>Закон РФ от 19.02.1993 N 4520-I "О государственных гарантиях и компенсациях для лиц, работающих и проживающих в районах Крайнего Севера и приравненных к ним местностях"</t>
  </si>
  <si>
    <t>Федеральный закон от 12.06.2002 N 67-ФЗ "Об основных гарантиях избирательных прав и права на участие в референдуме граждан Российской Федерации"</t>
  </si>
  <si>
    <t>Закон Томской области от 12.01.2007 N 29-ОЗ "О референдуме Томской области и местном референдуме"</t>
  </si>
  <si>
    <t>ст. 17, п.1, п.п.1</t>
  </si>
  <si>
    <t>Гл.3, ст.17, п. 1, п.п. 9.</t>
  </si>
  <si>
    <t>Гл.3, ст.20, п. 5.</t>
  </si>
  <si>
    <t>Федеральный закон от 21.12.1996 N 159-ФЗ "О дополнительных гарантиях по социальной поддержке детей-сирот и детей, оставшихся без попечения родителей"</t>
  </si>
  <si>
    <t>Гл.3, ст.15.1. п. 1, п.п. 8.</t>
  </si>
  <si>
    <t>Постановление Администрации Колпашевского района от 02.04.2010 № 512 "Об утверждении Методологии расчёта долговой нагрузки на бюджет муниципального образования "Колпашевский район"  с учётом действующих и планируемых к принятию долговых обязательств  на  среднесрочный прогноз"</t>
  </si>
  <si>
    <t>02.04.2010, не установлен</t>
  </si>
  <si>
    <t>Постановление Главы Колпашевского района от 22.06.2009 № 566 "Об утверждении Положения о порядке ведения муниципальной долговой книги муниципального образования "Колпашевский район"</t>
  </si>
  <si>
    <t>22.06.2009, не установлен</t>
  </si>
  <si>
    <t>28.04.2014, не установлен</t>
  </si>
  <si>
    <t>16.04.2015, не установлен</t>
  </si>
  <si>
    <t>Закон Томской области от 29.12.2015 N 215-ОЗ "О наделении органов местного самоуправления отдельными государственными полномочиями на подготовку и проведение на территории Томской области Всероссийской сельскохозяйственной переписи в 2016 году"</t>
  </si>
  <si>
    <t>Федеральный закон от 21 июля 2005 г. N 108-ФЗ
"О Всероссийской сельскохозяйственной переписи"</t>
  </si>
  <si>
    <t>21.06.2005, не установлен</t>
  </si>
  <si>
    <t>1101</t>
  </si>
  <si>
    <t>0102</t>
  </si>
  <si>
    <t>0103</t>
  </si>
  <si>
    <t>0104</t>
  </si>
  <si>
    <t>0106</t>
  </si>
  <si>
    <t>0111</t>
  </si>
  <si>
    <t>0113</t>
  </si>
  <si>
    <t>1004</t>
  </si>
  <si>
    <t>1020</t>
  </si>
  <si>
    <t>0309</t>
  </si>
  <si>
    <t>1010</t>
  </si>
  <si>
    <t>0405</t>
  </si>
  <si>
    <t>0406</t>
  </si>
  <si>
    <t>0408</t>
  </si>
  <si>
    <t>0409</t>
  </si>
  <si>
    <t>1006</t>
  </si>
  <si>
    <t>0412</t>
  </si>
  <si>
    <t>0502</t>
  </si>
  <si>
    <t>0503</t>
  </si>
  <si>
    <t>0701</t>
  </si>
  <si>
    <t>0702</t>
  </si>
  <si>
    <t>0707</t>
  </si>
  <si>
    <t>0709</t>
  </si>
  <si>
    <t>0801</t>
  </si>
  <si>
    <t>0804</t>
  </si>
  <si>
    <t>1003</t>
  </si>
  <si>
    <t>1102</t>
  </si>
  <si>
    <t>1301</t>
  </si>
  <si>
    <t>итого</t>
  </si>
  <si>
    <t>0203</t>
  </si>
  <si>
    <t>0310</t>
  </si>
  <si>
    <t>0501</t>
  </si>
  <si>
    <t>0401</t>
  </si>
  <si>
    <t>22.06.2015, не установлен</t>
  </si>
  <si>
    <t>Решение Думы Колпашевского района от 13.08.2014 № 75 "О финансировании за счет средств бюджета муниципального образования "Колпашевский район" мероприятий, направленных на поддержку садоводчиских, огороднических и дачных некомерческих объединений"</t>
  </si>
  <si>
    <t xml:space="preserve">Постановление Администрации Колпашевского района от 30.06.2010 № 855 "Об установлении расходных обязательств по осуществлению отдельных государственных полномочий по государственной поддержке сельскохозяйственного производства" </t>
  </si>
  <si>
    <t>01.07.2010, до окончания действия ЗТО от 29.12.2005 № 248-ОЗ</t>
  </si>
  <si>
    <t>Постановление Администрации Колпашевского района от 30.06.2010 № 863 "Об установлении расходных обязательств по осуществлению отдельных государственных полномочий" (в редакции от 13.02.2013 № 119, от 19.06.2012 № 577, от 13.02.2013 № 119)</t>
  </si>
  <si>
    <t>Решение Думы Колпашевского района от 29.04.2013 № 36 "О порядке использования средств бюджета муниципального образования «Колпашевский район на реализацию мероприятий, направленных на создание условий для развития сельскохозяйственного производства в поселениях, расширенре рынка сельскохозяйственной продукции, сырья, продовольствия" (в редакции от 27.11.2015 № 44)</t>
  </si>
  <si>
    <t>(661)</t>
  </si>
  <si>
    <t>Постановление Администрации Колпашевского района от 29.12.2011 № 1426 "Об утверждении Порядка использования бюджетных ассигнований резервного фонда Администрации Колпашевского района" (в редакции от 26.01.2012 № 61, от 15.04.2014 № 344, от 03.04.2015 № 379, от 26.05.2016 № 578)</t>
  </si>
  <si>
    <t>25.11.2013- 31.12.2020</t>
  </si>
  <si>
    <t>21.03.2016- 31.12.2020</t>
  </si>
  <si>
    <t>подпрограмма</t>
  </si>
  <si>
    <t>01.01.2016-31.12.2021</t>
  </si>
  <si>
    <t>01.01.2014- 31.12.2020</t>
  </si>
  <si>
    <t>Постановление Администрации Томской области от 26.04.2012 N 163а "Об утверждении Порядка предоставления иных межбюджетных трансфертов на исполнение судебных актов по обеспечению жилыми помещениями детей-сирот и детей, оставшихся без попечения родителей,а также лиц из их числа"</t>
  </si>
  <si>
    <t>п.2,3 порядка</t>
  </si>
  <si>
    <t>01.01.2012, не установлен</t>
  </si>
  <si>
    <t>Федеральный закон от 29.12.2006 N 264-ФЗ "О развитии сельского хозяйства"</t>
  </si>
  <si>
    <t>ст.7, п.1-2</t>
  </si>
  <si>
    <t>11.01.2007, не установлен</t>
  </si>
  <si>
    <t>Закон Томской области от 29.12.2005 N 248-ОЗ "О наделении органов местного самоуправления отдельными государственными полномочиями по государственной поддержке сельскохозяйственного производства"</t>
  </si>
  <si>
    <t>ст. 4,5</t>
  </si>
  <si>
    <t>Закон Российской Федерации от 21.02.1992 N 2395-I "О недрах"</t>
  </si>
  <si>
    <t>ст.3</t>
  </si>
  <si>
    <t>21.02.1992, не установлен</t>
  </si>
  <si>
    <t>Постановление Администрации Томской области от 17.09.2014 N 341а "О предоставлении из областного бюджета бюджетам муниципальных образований Томской области иных межбюджетных трансфертов на финансовое обеспечение мероприятий по временному социально-бытовому обустройству лиц, вынужденно покинувших территорию Украины и находящихся в помещениях, закрепленных за муниципальными учреждениями на праве оперативного управления или принадлежащих им на ином праве, определенных в качестве пунктов временного размещения"</t>
  </si>
  <si>
    <t>30.09.2014, не установлен</t>
  </si>
  <si>
    <t xml:space="preserve">Решение Думы Колпашевского района  от 23.04.2012 № 46 " О порядке расходования денежных средств, выделенных бюджету муниципального образования "Колпашевский район" из бюджета Томской области"
</t>
  </si>
  <si>
    <t>01.01.2016, не установлен</t>
  </si>
  <si>
    <t>Решение Думы Колпашевского района от 28.06.2016 № 56 "О порядке и случаях использования собственных материальных ресурсов и финансовых средств муниципального образования "Колпашевский район" для осуществления переданных полномочий по решению вопросов местного значения поселений Колпашевского района"</t>
  </si>
  <si>
    <t>28.06.2016, не установлен</t>
  </si>
  <si>
    <t>01.01.2017, не установлен</t>
  </si>
  <si>
    <t>0105</t>
  </si>
  <si>
    <t>23.05.2012, не установлен</t>
  </si>
  <si>
    <r>
      <t>наименование, номер и дата</t>
    </r>
    <r>
      <rPr>
        <b/>
        <sz val="9"/>
        <rFont val="Times New Roman"/>
        <family val="1"/>
        <charset val="204"/>
      </rPr>
      <t xml:space="preserve">
</t>
    </r>
  </si>
  <si>
    <t>25.04.2014, не установлен</t>
  </si>
  <si>
    <t>(571)</t>
  </si>
  <si>
    <t>(564) (565) (628) (663)</t>
  </si>
  <si>
    <t>01.09.2015, не установлен</t>
  </si>
  <si>
    <t>0107</t>
  </si>
  <si>
    <t>0703</t>
  </si>
  <si>
    <t>(208 567)</t>
  </si>
  <si>
    <t>Закон РФ от 09.10.1992 N 3612-I "Основы законодательства Российской Федерации о культуре"</t>
  </si>
  <si>
    <t>09.10.1992, не установлен</t>
  </si>
  <si>
    <t>Федеральный закон от 04.12.2007 N 329-ФЗ "О физической культуре и спорте в Российской Федерации"</t>
  </si>
  <si>
    <t>ст.9</t>
  </si>
  <si>
    <t>30.03.2008, не установлен</t>
  </si>
  <si>
    <t>Закон Томской области от 07.06.2010 N 94-ОЗ "О физической культуре и спорте в Томской области"</t>
  </si>
  <si>
    <t>27.06.2010, не установлен</t>
  </si>
  <si>
    <t>ст.19-1</t>
  </si>
  <si>
    <t>(499 710)</t>
  </si>
  <si>
    <t>(100 300)</t>
  </si>
  <si>
    <t>(100 307)</t>
  </si>
  <si>
    <t>Решение Думы Колпашевского района от 19.11.2012 № 142 "Об утверждении Положения «О звании «Почётный гражданин Колпашевского района» (в редакции от 28.03.2017 № 17)</t>
  </si>
  <si>
    <t>Решение Думы Колпашевского района от 28.03.2017 № 15 "О финансировании расходов на обеспечение условий для развития физической культуры и массового спорта на территории Колпашевского района"</t>
  </si>
  <si>
    <t>Постановление Администрации Колпашевского района от 30.12.2014 № 1636 "Об утверждении Порядка организации библиотечного обслуживания населения сельских поселений Колпашевского района, комплектования и обеспечения сохранности библиотечных фондов библиотек сельских поселений Колпашевского района"</t>
  </si>
  <si>
    <t>17.06.2013, не установлен</t>
  </si>
  <si>
    <t>14.05.2015, не установлен</t>
  </si>
  <si>
    <t>(499 711)</t>
  </si>
  <si>
    <t>(100 314)</t>
  </si>
  <si>
    <t>(100 312)</t>
  </si>
  <si>
    <t>(100 311)</t>
  </si>
  <si>
    <t>02.05.2017-20.12.2017</t>
  </si>
  <si>
    <t>(499 712)</t>
  </si>
  <si>
    <t>(499 713)</t>
  </si>
  <si>
    <t>(100 318)</t>
  </si>
  <si>
    <t>(100 316)</t>
  </si>
  <si>
    <t>Решение думы Колпашевского района от 31.05.2006 № 154 "Об учреждении Управления образования Администрации Колпашевского района и утверждении Положения об Управлении образования Администрации Колпашевского района" (в редакции от 31.10.2006 № 221, от 14.02.2011 № 2, от 20.06.2011 № 58, от 30.01.2014 № 4, от 29.05.2015 № 45,от 02.11.2015 № 7, от 30.05.2017 № 40)</t>
  </si>
  <si>
    <t>(100 321)</t>
  </si>
  <si>
    <t>(499 714)</t>
  </si>
  <si>
    <t>(409 702)</t>
  </si>
  <si>
    <t>(100 322)</t>
  </si>
  <si>
    <t>Решение Думы Колпашевского района от 27.04.2017 № 28 "О финансировании расходов на организацию мероприятий, направленных на закрепление специалистов в отрасли культуры"</t>
  </si>
  <si>
    <t>27.04.2017, не установлен</t>
  </si>
  <si>
    <t>Решение думы Колпашевского района от 27.04.2017 № 27 "О финансировании за счет средств бюджета муниципального образования "Колпашевский район" расходов на поддержку и развитие Центров общественного доступа, расположенных в муниципальных учреждениях культуры муниципального образования "Колпашевский район"</t>
  </si>
  <si>
    <t>(499 715)</t>
  </si>
  <si>
    <t>(100 336)</t>
  </si>
  <si>
    <t>(100 324)</t>
  </si>
  <si>
    <t>(100 326)</t>
  </si>
  <si>
    <t>(100 327)</t>
  </si>
  <si>
    <t>(100 329)</t>
  </si>
  <si>
    <t>(100 332)</t>
  </si>
  <si>
    <t>(100 334)</t>
  </si>
  <si>
    <t>(100 338)</t>
  </si>
  <si>
    <t>0505</t>
  </si>
  <si>
    <t>01.01.2016- 31.12.2025</t>
  </si>
  <si>
    <t>(219 705)</t>
  </si>
  <si>
    <t>Решение Думы Колпашевского района от 27.07.2017 № 72 "О предоставлении бюджетам муниципальных образований: "Саровское сельское поселение", "Новогоренское сельское поселение", "Инкинское сельское поселение", "Новоселовское сельское поселение", иных межбюджетных трансфертов на проведение выборов депутатов представительных органов сельских поселений Колпашевского района"</t>
  </si>
  <si>
    <t>27.07.2017- 01.10.2017</t>
  </si>
  <si>
    <t>(100 341)</t>
  </si>
  <si>
    <t>(499 717)</t>
  </si>
  <si>
    <t>(499 718)</t>
  </si>
  <si>
    <t>Постановление Главы Колпашевского района от 13.09.2017 № 188 "О порядке использования бюджетных ассигнований резервного фонда финансирования непредвиденных расходов Администрации Томской области, выделенных муниципальному образованию "Колпашевский район"</t>
  </si>
  <si>
    <t>13.09.2017- 18.12.2017</t>
  </si>
  <si>
    <t>Решение Думы Колпашевского района от 28.09.2017 № 80 "О финансировании расходов, связанных с осуществлением перевозок общественным транспортом обучающихся муниципальных общеобразовательных организаций Колпашевского района"</t>
  </si>
  <si>
    <t>28.09.2017- не установлен</t>
  </si>
  <si>
    <t>Решение Думы Колпашевского района от 17.06.2013 № 58 "О порядке использования средств бюджета муниципального образования "Колпашевский район" на финансирование мероприятий, направленных на создание условий по развитию туризма" (в редакции от 28.06.2016 № 55, от 28.09.2017 № 81)</t>
  </si>
  <si>
    <t>Решение Думы Колпашевского района от 28.09.2017 № 94 "О финансировании проведения полевых археологических работ (археологическая разведка)"</t>
  </si>
  <si>
    <t>28.09.2017, не установлен</t>
  </si>
  <si>
    <t>(499 719)</t>
  </si>
  <si>
    <t>Постановление Администрации Колпашевского района от 02.05.2017 № 398 "О порядке расходования средств субсидии из областного бюджета на реализацию мероприятия "Поддержка обустройства мест массового отдыха населения (городских парков)" подпрограммы "Обеспечение доступности и комфортности жилища, формирование качественной жилой среды" государственной программы "Обеспечение доступности жилья и улучшение качества жилищных условий населения Томской области" (в редакции от 15.05.2017 № 423, от 23.11.2017 № 1243)</t>
  </si>
  <si>
    <t>Постановление Администрации Томской области от 27.02.2008 № 32а "Об утверждении Порядка использования бюджетных ассигнований резервного фонда финансирования непредвиденных расходов Администрации Томской области"</t>
  </si>
  <si>
    <t>27.02.2008, не установлен</t>
  </si>
  <si>
    <t>Гл.3, ст.15, п.1, п.п.7</t>
  </si>
  <si>
    <t xml:space="preserve">01.09.2013, не указан </t>
  </si>
  <si>
    <t>Постановление Администрации Томской области от 24.06.2014 № 244а «О Порядке предоставления иных межбюджетных трансфертов на 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дошкольных образовательных организаций»</t>
  </si>
  <si>
    <t>24.06.2014, не установлен</t>
  </si>
  <si>
    <t>ст.40</t>
  </si>
  <si>
    <t xml:space="preserve"> 01.01.2009, не установлен</t>
  </si>
  <si>
    <t>Решение Думы Колпашевского района от 10.12.2005 № 35 "Об утверждении Положения о порядке официального опубликования (обнародования) муниципальных правовых актов и иной официальной информации" (в редакции от 27.10.2008 № 558, от 27.03.2009 № 624, от 30.01.2014 № 11, от 22.06.2015 № 62, от 28.09.2017 № 85)</t>
  </si>
  <si>
    <t>Постановление Правительства РФ от 17.12.2010 N 1050 "О реализации отдельных мероприятий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</si>
  <si>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01.01.2010 -31.12.2020</t>
  </si>
  <si>
    <t>01.07.2010, не установлен</t>
  </si>
  <si>
    <t xml:space="preserve">Федеральный Закон от 06.10.2003 № 131-ФЗ "Об общих принципах организации местного самоуправления"
</t>
  </si>
  <si>
    <t xml:space="preserve">Ст. 15, п.1, пп.26
</t>
  </si>
  <si>
    <t xml:space="preserve">Ст. 15.1, п.1, пп.8
</t>
  </si>
  <si>
    <t>(100 305)</t>
  </si>
  <si>
    <t>(218 687)</t>
  </si>
  <si>
    <t>(213 587)</t>
  </si>
  <si>
    <t>01.01.2018, не установлен</t>
  </si>
  <si>
    <t>25.11.2015, не установлен</t>
  </si>
  <si>
    <t>Постановление Администрации Колпашевского района от 30.06.2010 № 863 "Об установлении расходных обязательств  муниципального образования "Колпашевский район" по осуществлению отдельных государственных полномочий" (в редакции от 19.06.2012 № 577, от 13.02.2013 № 119)</t>
  </si>
  <si>
    <t>Постановление Администрации Колпашевского района от 20.03.2013 № 263 "О порядке расходования средств субсидии на организацию отдыха детей Колпашевского района в каникулярное время" (в редакции от 17.03.2014 № 233, от 23.05.2016 № 540, от 06.03.2018 № 177)</t>
  </si>
  <si>
    <t xml:space="preserve">1.Расходные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
</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</si>
  <si>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</si>
  <si>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1.1.1.3. владение, пользование и распоряжение имуществом, находящимся в муниципальной собственности муниципального района</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</si>
  <si>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</si>
  <si>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</si>
  <si>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 1 ст. 17 Федерального закона от 06.10.2003 № 131-ФЗ «Об общих принципах организации местного самоуправления в Российской Федерации», всего</t>
  </si>
  <si>
    <t>1.3.1. 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</si>
  <si>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(605)</t>
  </si>
  <si>
    <t>Наименование полномочия, 
расходного обязательства</t>
  </si>
  <si>
    <t>Правовое основание финансового обеспечения полномочия, расходного обязательства муниципального образования</t>
  </si>
  <si>
    <t>25.03.2015, не установлен</t>
  </si>
  <si>
    <t>ст.15 п.1 пп.19</t>
  </si>
  <si>
    <t>ст.15 п.1 пп.1</t>
  </si>
  <si>
    <t>499 710</t>
  </si>
  <si>
    <t>499 713</t>
  </si>
  <si>
    <t>1201</t>
  </si>
  <si>
    <t>1206</t>
  </si>
  <si>
    <t>1307</t>
  </si>
  <si>
    <t>1034</t>
  </si>
  <si>
    <t>1021</t>
  </si>
  <si>
    <t>1202</t>
  </si>
  <si>
    <t>Постановление Администрации Колпашевского района от 16.05.2018 № 415 "О порядке использования средств муниципальной программы "Обеспечение безопасности населения Колпашевского района", предусмотренных на организацию видеонаблюдения в образовательных"</t>
  </si>
  <si>
    <t>16.05.2018- 20.12.2018</t>
  </si>
  <si>
    <t>Постановление Администрации Колпашевского района от 17.04.2018 № 343 "О порядке расходования средств субсидии из областного бюджета в 2018 году на поддержку экономического и социального развития коренных малочисленных народов Севера, Сибири и Дальнего Востока Российской Федерации"</t>
  </si>
  <si>
    <t>17.04.2018- 31.12.2018</t>
  </si>
  <si>
    <t>1023</t>
  </si>
  <si>
    <t>1026</t>
  </si>
  <si>
    <t>1801</t>
  </si>
  <si>
    <t>Постановление Администрации Колпашевского района от 05.05.2012 № 425 "О порядке определения объёма и условия предоставления бюджетным и автономным учреждениям муниципального образования «Колпашевский район» субсидий на иные цели, источником финансирования которых является резервный фонд Администрации Колпашевского район"</t>
  </si>
  <si>
    <t>(100 325)</t>
  </si>
  <si>
    <t>(100 328)</t>
  </si>
  <si>
    <t>(100 337)</t>
  </si>
  <si>
    <t>(100 330)</t>
  </si>
  <si>
    <t>(414 681)</t>
  </si>
  <si>
    <t>(210 619)</t>
  </si>
  <si>
    <t>(203 603)</t>
  </si>
  <si>
    <t>Решение Думы Колпашевского района от 13.08.2014 № 82 "О размере, условиях и порядке предоставления компенсации расходов по оплате стоимости проезда и провоза багажа в пределах РФ к месту использования отпуска и обратно для лиц, работающих в органах местного самоуправления муниципального образования "Колпашевский район", в органах Администрации Колпашевского района и муниципальных учреждениях, финансируемых из бюджета муниципального образования "Колпашевский район", и о размере, условиях и порядке предоставления компенсации расходов по оплате стоимости проезда и провоза багажа в пределах РФ при переезде к новому месту жительства, в другую местность, за пределы Колпашевского района" (в редакции от 22.09.2014 № 89, от 27.10.2014 № 116, от 28.08.2018 № 63)</t>
  </si>
  <si>
    <t>Решение Думы Колпашевского района от 22.06.2015 № 59 "О софинансировании проектов по организации и проведению в 2015 году мероприятий, направленных на поддержку и развитие социального туризма" (в редакции решений от 25.04.2016 № 25, от 25.04.2016 № 25, от 28.08.2018 № 68)</t>
  </si>
  <si>
    <t>20.09.2018- 20.12.2018</t>
  </si>
  <si>
    <t>(100 342)</t>
  </si>
  <si>
    <t>(218 596)</t>
  </si>
  <si>
    <t>18.09.2018, не установлен</t>
  </si>
  <si>
    <t>Решение Думы Колпашевского района от 10.09.2012 № 118 "О порядке использования средств бюджета муниципального образования "Колпашевский район" на проведение мероприятий по предупреждению и ликвидации пследствий черезвычайных ситуаций природного и техногенного характера на территории муниципального образования "Колпашевский район" (в редакции от 28.10.2013 № 90, от 27.06.2014 № 62, от 03.10.2018 № 98)</t>
  </si>
  <si>
    <t>12.08.2014, не установлен</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</si>
  <si>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</si>
  <si>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</si>
  <si>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1009</t>
  </si>
  <si>
    <t>1.1.1.6.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водного транспорта)</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</si>
  <si>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</si>
  <si>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</si>
  <si>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1.1.1.12.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t>
  </si>
  <si>
    <t>1.1.1.13. участие в предупреждении и ликвидации последствий чрезвычайных ситуаций на территории муниципального района</t>
  </si>
  <si>
    <t>1.1.1.16. организация мероприятий межпоселенческого характера по охране окружающей среды</t>
  </si>
  <si>
    <t>1.1.1.17.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</si>
  <si>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городской местности</t>
  </si>
  <si>
    <t>1.1.1.19.организация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сельской местности</t>
  </si>
  <si>
    <t>1022</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</si>
  <si>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</si>
  <si>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</si>
  <si>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</si>
  <si>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</si>
  <si>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1.1.1.24.   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</si>
  <si>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1.1.1.27. формирование и содержание муниципального архива, включая хранение архивных фондов поселений</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</si>
  <si>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</si>
  <si>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1.1.1.33.   создание условий для развития местного традиционного народного художественного творчества в поселениях, входящих в состав муниципального района</t>
  </si>
  <si>
    <t>1.1.1.38. осуществление мероприятий по обеспечению безопасности людей на водных объектах, охране их жизни и здоровья</t>
  </si>
  <si>
    <t>1.1.1.39. создание условий для расширения рынка сельскохозяйственной продукции, сырья и продовольствия</t>
  </si>
  <si>
    <t>1044</t>
  </si>
  <si>
    <t>1.1.1.42. содействие развитию малого и среднего предпринимательства</t>
  </si>
  <si>
    <t>1045</t>
  </si>
  <si>
    <t>1.1.1.43. оказание поддержки социально ориентированным некоммерческим организациям, благотворительной деятельности и добровольчеству</t>
  </si>
  <si>
    <t>1046</t>
  </si>
  <si>
    <t>1.1.1.44. обеспечение условий для развития на территории муниципального района физической культуры, школьного спорта и массового спорта</t>
  </si>
  <si>
    <t>1.1.1.45. организация проведения официальных физкультурно-оздоровительных и спортивных мероприятий муниципального района</t>
  </si>
  <si>
    <t>1.1.1.46.   организация и осуществление мероприятий межпоселенческого характера по работе с детьми и молодежью</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</si>
  <si>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</si>
  <si>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</si>
  <si>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</si>
  <si>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</si>
  <si>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</si>
  <si>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1.2.4.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</si>
  <si>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1.2.6. принятие устава муниципального образования и внесение в него изменений и дополнений, издание муниципальных правовых актов</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</si>
  <si>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</si>
  <si>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</si>
  <si>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1.2.21. 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года № 4520-1 «О государственных гарантиях и компенсациях для лиц, работающих и проживающих в районах Крайнего Севера и приравненных к ним местностях» (Ведомости Съезда народных депутатов Российской Федерации и Верховного Совета Российской Федерации, 1993, № 16, ст. 551, Собрание законодательства Российской Федерации, 2004, № 35, ст. 3607; 2014, № 30, ст. 4232,  статьи 325 и 326 Трудового кодекса Российской Федерации (Собрание законодательства Российской Федерации, 2002, № 1, ст. 3)</t>
  </si>
  <si>
    <t>1.2.22. формирование и использование резервных фондов администраций муниципальных образований для финансирования непредвиденных расходов</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</si>
  <si>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</si>
  <si>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1.3.3.3. дополнительные меры социальной поддержки и социальной помощи для отдельных категорий граждан</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</si>
  <si>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</si>
  <si>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</si>
  <si>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1.3.4.2 исполнение судебных актов</t>
  </si>
  <si>
    <t>1.3.4.4. осуществление оплаты членских, целевых взносов для участия в различных Ассоциациях, межмуниципальных объединениях и организациях, некоммерческих организациях</t>
  </si>
  <si>
    <t>1.4.1. за счет субвенций, предоставленных из федерального бюджета, всего</t>
  </si>
  <si>
    <t>1703 (586)</t>
  </si>
  <si>
    <t>1.4.2. за счет субвенций, предоставленных из бюджета субъекта Российской Федерации, всего</t>
  </si>
  <si>
    <t>1.4.2.5. 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с учетом рыбоводства и рыболовства)</t>
  </si>
  <si>
    <t>1.4.2.21.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</si>
  <si>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1821 (568)</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</si>
  <si>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</si>
  <si>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 (562)</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</si>
  <si>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</si>
  <si>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 (701)</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</si>
  <si>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</si>
  <si>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</si>
  <si>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</si>
  <si>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</si>
  <si>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1.6.1. по предоставлению дотаций на выравнивание бюджетной обеспеченности городских, сельских поселений, всего</t>
  </si>
  <si>
    <t>1.6.3.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</si>
  <si>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1.6.3.1. на осуществление воинского учета на территориях, на которых отсутствуют структурные подразделения военных комиссариатов</t>
  </si>
  <si>
    <t>1.6.3.2.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</si>
  <si>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1.6.4. по предоставлению иных межбюджетных трансфертов, всего</t>
  </si>
  <si>
    <t>1.6.4.2. в  иных  случаях, не связанных с    заключением   соглашений, предусмотренных в подпункте  1.6.4.1., всего</t>
  </si>
  <si>
    <t xml:space="preserve">1.6.4.2.1. владение, пользование и распоряжение имуществом, находящимся в муниципальной собственности городского и сельского поселения
</t>
  </si>
  <si>
    <t>1.6.4.2.2. организация в границах городского и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</si>
  <si>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1.6.4.2.2.1. за счет средств бюджета Колпашевского района</t>
  </si>
  <si>
    <t>1.6.4.2.2.2. за счет средств областного бюджета</t>
  </si>
  <si>
    <t>1.6.4.2.2.2.1. Иные межбюджетные трансферты на компенсацию расходов по организации электроснабжения от дизельных электростанций за счет средств субсидии</t>
  </si>
  <si>
    <t>1.6.4.2.4. дорожная деятельность в отношении автомобильных дорог местного значения в границах населенных пунктов городского и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и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</si>
  <si>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2305</t>
  </si>
  <si>
    <t>2307</t>
  </si>
  <si>
    <t>1.6.4.2.11. участие в профилактике терроризма и экстремизма, а также в минимизации и (или) ликвидации последствий проявлений терроризма и экстремизма в границах поселения</t>
  </si>
  <si>
    <t>2311</t>
  </si>
  <si>
    <t>1.6.4.2.11.1 ИМБТ на организацию видионаблюдения в местах массового скопления людей</t>
  </si>
  <si>
    <t>1.6.4.2.13. участие в предупреждении и ликвидации последствий чрезвычайных ситуаций в границах городского и сельского поселения</t>
  </si>
  <si>
    <t>1.6.4.2.14. обеспечение первичных мер пожарной безопасности в границах населенных пунктов городского и сельского поселения</t>
  </si>
  <si>
    <t>1.6.4.2.15. создание условий для обеспечения жителей городского и сельского поселения услугами связи, общественного питания, торговли и бытового обслуживания</t>
  </si>
  <si>
    <t>1.6.4.2.20. обеспечение условий для развития на территории городского и сельского поселения физической культуры, школьного спорта и массового спорта</t>
  </si>
  <si>
    <t>1.6.4.2.21. организация проведения официальных физкультурно-оздоровительных и спортивных мероприятий городского и сельского поселения</t>
  </si>
  <si>
    <t>2321</t>
  </si>
  <si>
    <t>1.6.4.2.22. создание условий для массового отдыха жителей городского и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</si>
  <si>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2322 (653, 654)</t>
  </si>
  <si>
    <t>1.6.4.2.26. организация благоустройства территории городского 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</si>
  <si>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1.6.4.2.26.1. за счет местного бюджета</t>
  </si>
  <si>
    <t>1.6.4.2.26.2. за счет средств областного бюджета</t>
  </si>
  <si>
    <t>1.6.4.2.26.2.1. Субсидия из областного бюджета бюджетам муниципальных образований Томской области на поддержку муниципальных программ формирования современной городской среды (за счет средств областного бюджета)</t>
  </si>
  <si>
    <t>1.6.4.2.26.2.2. Субсидия из областного бюджета бюджетам муниципальных образований Томской области на поддержку муниципальных программ формирования современной городской среды (за счет средств федерального бюджета)</t>
  </si>
  <si>
    <t>1.6.4.2.29. утверждение генеральных планов городского и сельского поселения, правил землепользования и застройки, утверждение подготовленной на основе генеральных планов городского и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и сельского поселения, утверждение местных нормативов градостроительного проектирования городского и сельского поселений, резервирование земель и изъятие земельных участков в границах городского и сельского поселения для муниципальных нужд, осуществление муниципального земельного контроля в границах городского и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</si>
  <si>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1.6.4.2.36. содействие в развитии сельскохозяйственного производства в сфере животноводства с учетом рыболовства и рыбоводства содействие в развитии сельскохозяйственного производства в сфере растениеводства</t>
  </si>
  <si>
    <t>1.6.4.2.39. организация и осуществление мероприятий по работе с детьми и молодежью в городском поселении</t>
  </si>
  <si>
    <t>1.6.4.2.48.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</si>
  <si>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2348 (100 323)</t>
  </si>
  <si>
    <t>1.6.4.2.49. создание условий для развития туризма</t>
  </si>
  <si>
    <t>1.6.4.2.50. обеспечение сбалансированности бюджетов городских и сельских поселений</t>
  </si>
  <si>
    <t>2350</t>
  </si>
  <si>
    <t>1.1.1.17.1. Создание условий для реализации образовательных программ дошкольного образования, присмотра и ухода</t>
  </si>
  <si>
    <t>1.1.1.17.2. МП "Обеспечение безопасности  населения Колпашевского района"</t>
  </si>
  <si>
    <t>1.1.1.17.3. 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дошкольных образовательных организаций</t>
  </si>
  <si>
    <t>1.1.1.18.2. компенсация расходов на питание обучающимся общеобразовательных учреждений</t>
  </si>
  <si>
    <t>1.1.2.18. организация библиотечного обслуживания населения, комплектование и обеспечение сохранности библиотечных фондов библиотек  поселения</t>
  </si>
  <si>
    <t>1.1.2.19. создание условий для организации досуга и обеспечения жителей  поселения услугами организаций культуры</t>
  </si>
  <si>
    <t>1.4.1.11. на выплату единовременного пособия при всех формах устройства детей, лишенных родительского попечения, в семью</t>
  </si>
  <si>
    <t>1.4.2.1.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</si>
  <si>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</si>
  <si>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2003 (309 572) (309 592)</t>
  </si>
  <si>
    <t>(310 580)</t>
  </si>
  <si>
    <t>(312 551) (323 554)</t>
  </si>
  <si>
    <t>(311 606 312 556)</t>
  </si>
  <si>
    <t>(303 558)</t>
  </si>
  <si>
    <t>(304 581)</t>
  </si>
  <si>
    <t>(313 553)</t>
  </si>
  <si>
    <t>(305 557)</t>
  </si>
  <si>
    <t>(312 562)</t>
  </si>
  <si>
    <t>Решение Думы Колпашевского района от 14.07.2006 № 180 "Об утверждении Положения о создании условий для предоставления транспортных услуг населению и организации транспортного обслуживания населению по маршрутам между поселениями в границах МО "Колпашевский район" (в редакции от 29.11.2006 № 237, от 27.04.2007 № 320, от 15.05.2008 № 477, от 08.09.2008 № 539, от 23.04.2012 № 75, от 10.09.2012 №120, от 21.12.2015 № 56, от 28.03.2017 № 56, от 28.03.2017 № 92, от 28.08.2018 № 78, от 28.11.2018 № 102)</t>
  </si>
  <si>
    <t xml:space="preserve">ст. 9, ст. 40 </t>
  </si>
  <si>
    <t>1.1.1.18.1. Создание условий для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общеобразовательных организациях муниципального образования</t>
  </si>
  <si>
    <t>(210 598, 210 599)</t>
  </si>
  <si>
    <t>(100 345)</t>
  </si>
  <si>
    <t>(100 346)</t>
  </si>
  <si>
    <t>2336 (100 344)</t>
  </si>
  <si>
    <t>1221</t>
  </si>
  <si>
    <t>1149</t>
  </si>
  <si>
    <t>1213</t>
  </si>
  <si>
    <t>1222</t>
  </si>
  <si>
    <t>1029</t>
  </si>
  <si>
    <t>1208</t>
  </si>
  <si>
    <t>1601</t>
  </si>
  <si>
    <t>1603</t>
  </si>
  <si>
    <t>1604</t>
  </si>
  <si>
    <t>1040</t>
  </si>
  <si>
    <t>1041</t>
  </si>
  <si>
    <t>1019</t>
  </si>
  <si>
    <t>1068</t>
  </si>
  <si>
    <t>1119</t>
  </si>
  <si>
    <t>1047</t>
  </si>
  <si>
    <t>1802</t>
  </si>
  <si>
    <t>1703</t>
  </si>
  <si>
    <t>1805</t>
  </si>
  <si>
    <t>1854</t>
  </si>
  <si>
    <t>1722</t>
  </si>
  <si>
    <t>1821</t>
  </si>
  <si>
    <t>2003</t>
  </si>
  <si>
    <t>1896</t>
  </si>
  <si>
    <t>1838</t>
  </si>
  <si>
    <t>1712</t>
  </si>
  <si>
    <t>2301</t>
  </si>
  <si>
    <t>2104</t>
  </si>
  <si>
    <t>2313</t>
  </si>
  <si>
    <t>2336</t>
  </si>
  <si>
    <t>2304</t>
  </si>
  <si>
    <t>2315</t>
  </si>
  <si>
    <t>0410</t>
  </si>
  <si>
    <t>2302</t>
  </si>
  <si>
    <t>2326</t>
  </si>
  <si>
    <t>2105</t>
  </si>
  <si>
    <t>2352</t>
  </si>
  <si>
    <t>2320</t>
  </si>
  <si>
    <t>2101</t>
  </si>
  <si>
    <t>1204</t>
  </si>
  <si>
    <t>Федеральный закон от 07.02.2011 N 6-ФЗ "Об общих принципах организации и деятельности контрольно-счетных органов субъектов Российской Федерации и муниципальных образований"</t>
  </si>
  <si>
    <t>ст. 20</t>
  </si>
  <si>
    <t>01.10.2011, не установлен</t>
  </si>
  <si>
    <t>Закон РФ от 19.02.1993 г. N 4520-I "О государственных гарантиях и компенсациях для лиц, работающих и проживающих в районах Крайнего Севера и приравненных к ним местностях"</t>
  </si>
  <si>
    <t>ст. 33, ст. 35</t>
  </si>
  <si>
    <t>01.06.1993, не установлен</t>
  </si>
  <si>
    <t>Закон Томской области от 14.05.2005 N 78-ОЗ "О гарантиях и компенсациях для лиц, проживающих в местностях, приравненных к районам Крайнего Севера"</t>
  </si>
  <si>
    <t>ст. 4, ст.5</t>
  </si>
  <si>
    <t>гл. 8 Положения</t>
  </si>
  <si>
    <t>1.1.1.38.1. обеспечение безопасности гидротехнических сооружений</t>
  </si>
  <si>
    <t>Федеральный закон от 21.12.1994 N 68-ФЗ "О защите населения и территорий от чрезвычайных ситуаций природного и техногенного характера"</t>
  </si>
  <si>
    <t>Решение Думы Колпашевского района от 10.09.2012 № 118 "О порядке использования средств бюджета муниципального образования "Колпашевский район" на проведение мероприятий по предупреждению и ликвидации чрезвычайных ситуаций природного и техногенного характера на территории муниципального образования "Колпашевский район" (в редакции от 28.10.2013 № 90, от 27.06.2014 № 62, от 03.10.2018 № 98)</t>
  </si>
  <si>
    <t>п. 3</t>
  </si>
  <si>
    <t>1.1.1.39.1. мроприятия в области сельскохозяйственного производства</t>
  </si>
  <si>
    <t>01.01.2019- 31.12.2024</t>
  </si>
  <si>
    <t>19.06.2018, не установлен</t>
  </si>
  <si>
    <t>ст. 2</t>
  </si>
  <si>
    <t>ст. 17, п.1, п.п.8.1; ст.34, п.9</t>
  </si>
  <si>
    <t xml:space="preserve">Решение Думы Колпашевского района от 18.10.2005 № 417 "О Положении об организации профессиональной подготовки кадров органов местного самоуправления Колпашевского района и работников органов Администрации Колпашевского района" (в редакции от 17.06.2013 № 57)
 </t>
  </si>
  <si>
    <t>п. 3.2.</t>
  </si>
  <si>
    <t>ст.10</t>
  </si>
  <si>
    <t>ст.2</t>
  </si>
  <si>
    <t>Решение Думы Колпашевского района от 18.10.2005 № 417 "О Положении об организации профессиональной подготовки кадров органов местного самоуправления Колпашевского района и работников органов Администрации Колпашевского района" (в редакции от 17.06.2013 № 57)</t>
  </si>
  <si>
    <t>Гл.3, ст.17, п. 1., п.п. 8.1</t>
  </si>
  <si>
    <t>01.06.2013, не установлен</t>
  </si>
  <si>
    <t>Постановление Администрации Колпашевского района от 02.07.2013 № 625 "Об установлении расходного обязательства муниципального образования "Колпашевский район" по осуществлению отдельных государственных полномочий по Томской области по регулированию числен</t>
  </si>
  <si>
    <t>(306 555)</t>
  </si>
  <si>
    <t>(306 690)</t>
  </si>
  <si>
    <t>ст. 4</t>
  </si>
  <si>
    <t>Постановление Администрации Колпашевского района от 20.09.2018 № 1006 "О порядке использования средств межбюджетного трансферта, выделенного из бюджета Томской области по итогам проведения областного ежегодного конкурса на лучшее муниципальное образование Томской области по профилактике правонарушений" (в редакции от 24.12.2018 № 1426, от 26.12.2018 № 1448)</t>
  </si>
  <si>
    <t>Постановление Администрации Томской области от 06.09.2013 N 367а "О Порядке предоставления иных межбюджетных трансфертов на организацию системы выявления, сопровождения одаренных детей"</t>
  </si>
  <si>
    <t>06.09.2013, не установлен</t>
  </si>
  <si>
    <t>Постановление Губернатора Томской области от 10.02.2012 N 13 "Об учреждении ежемесячной стипендии Губернатора Томской области молодым учителям областных государственных и муниципальных образовательных организаций Томской области"</t>
  </si>
  <si>
    <t>Решение Думы Колпашевского района от 18.03.2011 № 23 "Об организации проведения районных мероприятий и обеспечении участия в мероприятиях регионального, межрегионального, федерального уровней в сфере образования" (в редакции от 16.12.2011 № 167, от 17.06.2013 № 56, от 28.05.2014 № 51, от 02.11.2015 № 6, от 30.05.2016 № 41, от 24.11.2016 № 112, от 16.02.2017 № 3)</t>
  </si>
  <si>
    <t xml:space="preserve"> ст. 9, ст. 40</t>
  </si>
  <si>
    <t>Федеральный Закон от 29.12.2012 № 273-ФЗ "Об образовании в РФ"</t>
  </si>
  <si>
    <t>Гл. 12, ст. 89, п. 3</t>
  </si>
  <si>
    <t>Решение Думы Колпашевского района от 15.12.2014 № 135 "О финансировании за счёт средств бюджета муниципального образования "Колпашевский район" мер социальной поддержки в виде компенсации расходов по оплате стоимости проезда к месту учебы и обратно для гражданина, заключившего договор о целевом обучении с муниципальной образовательной организацией Колпашевского района" (в редакции от 31.07.2015 № 68, от 28.08.2018 № 67)</t>
  </si>
  <si>
    <t>ст. 4, п. 5</t>
  </si>
  <si>
    <t>ст.2, ст.4</t>
  </si>
  <si>
    <t>1.1.1.18.3. организация системы выявления, сопровождения одаренных детей</t>
  </si>
  <si>
    <t xml:space="preserve">1.1.1.19.1. Создание условий для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общеобразовательных организациях муниципального образования </t>
  </si>
  <si>
    <t>1.1.1.19.2. компенсация расходов на питание обучающимся общеобразовательных учреждений</t>
  </si>
  <si>
    <t>1.1.1.19.3. стипендии Губернатора Томской области молодым учителям МОУ Томской области</t>
  </si>
  <si>
    <t>1.1.1.20.1. организация предоставления дополнительного образования на территории муниципального района</t>
  </si>
  <si>
    <t>1.1.1.20.2. стимулирующие выплаты работникам организаций дополнительного образования</t>
  </si>
  <si>
    <t>1.1.1.20.3. повышение заработной платы педагогических работников муниципальных учреждений дополнительного образования детей</t>
  </si>
  <si>
    <t>1.1.1.32.1. обеспечение деятельности учреждений культуры и мероприятия в области культуры</t>
  </si>
  <si>
    <t>1.1.1.32.2. субсидии местным бюджетам на достижение целевых показателей по плану мероприятий ("дорожной карте") "Изменения в сфере культуры, направленные на повышение ее эффективности" в части повышения заработной платы работников муниципальных учреждений  культуры и муниципальных учреждений в сфере архивного дела"</t>
  </si>
  <si>
    <t>1.1.1.32.3. субсидии местным бюджетам на оплату труда руководителям и специалистам муниципальных учреждений культуры и искусства, в части выплаты надбавок и доплат к тарифной ставке (должностному окладу)</t>
  </si>
  <si>
    <t>1.1.1.44.1. обеспечение условий для развитие физической культуры  и массового спорта</t>
  </si>
  <si>
    <t>1.1.1.44.3. субсидиии местным бюджетам на обеспечение условий для развития физической культуры и массового спорта</t>
  </si>
  <si>
    <t>1.6.4.2.11.2. Иные межбюджетные трансферты на проведение областного ежегодного конкурса на лучшее муниципальное образование Томской области по профилактике правонарушений</t>
  </si>
  <si>
    <t>1.6.4.2.20.1. субсидии местным бюджетам на обеспечение условий для развития физической культуры и массового спорта</t>
  </si>
  <si>
    <t>Закон Томской области от 13.06.2007 № 112-ОЗ "О реализации государственной политики в сфере культуры и искусства на территории Томской области"</t>
  </si>
  <si>
    <t>п.п.6 п.5 Порядка</t>
  </si>
  <si>
    <t>Постановление Администрации Колпашевского района от 21.03.2016 № 278 "Об утверждении муниципальной программы "Развитие культуры и туризма в Колпашевском районе" (в редакции от 04.04.2016 № 336, от 01.06.2016 № 610, от 04.10.2016 № 1112, от 15.11.2016 № 1253, от 14.12.2016 № 1361, от 30.12.2016 № 1448, от 10.03.2017 № 192, от 29.12.2017 № 1381, от 18.05.2018 № 431)</t>
  </si>
  <si>
    <t>Гл.3, ст.15, п.1,  п.п. 19</t>
  </si>
  <si>
    <t>Федеральный закон от 29 декабря 1994 г. N 78-ФЗ "О библиотечном деле"</t>
  </si>
  <si>
    <t>ст. 15, п. 2</t>
  </si>
  <si>
    <t>ст.24</t>
  </si>
  <si>
    <t>09.10.1997, не установлен</t>
  </si>
  <si>
    <t>Закон Томской области от 09.10.1997 "О библиотечном деле и обязательном экземпляре документов в Томской области"</t>
  </si>
  <si>
    <t>ст.15 п.1 пп.19.1</t>
  </si>
  <si>
    <t>прил.1 к особенностям</t>
  </si>
  <si>
    <t>ст. 5</t>
  </si>
  <si>
    <t>Постановление Администрации Колпашевского района от 29.06.2010 № 846 "Об установлении расходных обязательств по осуществлению отдельных государственных полномочий по регулированию тарифов на перевозки пассажиров и багажа всеми видами общественного траснпорта в городском, пригородном и междугородном сообщении (кроме железнодорожного транспорта) по городским, пригородным и междугородным муниципальным маршрутам" (в редакции от 14.01.2016 № 9)</t>
  </si>
  <si>
    <t xml:space="preserve">Закон Томской области от 13.08.2007 N 170-ОЗ "О межбюджетных отношениях в Томской области" </t>
  </si>
  <si>
    <t>ст. 8,  п. 2, п.п. 1</t>
  </si>
  <si>
    <t>(100 304)</t>
  </si>
  <si>
    <t>(201 579)</t>
  </si>
  <si>
    <t>2329</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</si>
  <si>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</si>
  <si>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(208 543)</t>
  </si>
  <si>
    <t>(206 546, 206 547)</t>
  </si>
  <si>
    <t>(100 310)</t>
  </si>
  <si>
    <t>(499 801) (802)</t>
  </si>
  <si>
    <t>Постановление Главы Колпашевского района от 25.02.2019 № 37 "О порядке расходования бюджетных ассигнований резервного фонда финансирования непредвиденных расходов Администрации Томской области"</t>
  </si>
  <si>
    <t>25.02.2019- 31.12.2019</t>
  </si>
  <si>
    <t>Решение Думы Колпашевского района от 28.06.2016 № 59 "Об утверждении Положения о порядке финансирования расходов на организацию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муниципальных общеобразовательных организациях муниципального образования "Колпашевский район" за счёт средств бюджета муниципального образования "Колпашевский район" (в редакции от 19.12.2016 № 125, от 28.02.2019 № 18)</t>
  </si>
  <si>
    <t>Решение Думы Колпашевского района от 28.02.2019 № 19 "О мерах по реализации постановления Администрации Томской области от 24 октября 2018 г. N 415а "Об утверждении Методики определения размера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 и определении нормативов расходов на обеспечение государственных гарантий реализации прав"</t>
  </si>
  <si>
    <t>01.01.2019, не установлен</t>
  </si>
  <si>
    <t>(209 533)</t>
  </si>
  <si>
    <t>(209 530)</t>
  </si>
  <si>
    <t>(209 531)</t>
  </si>
  <si>
    <t>(209 532)</t>
  </si>
  <si>
    <t>499 712</t>
  </si>
  <si>
    <t>(206 548)</t>
  </si>
  <si>
    <t>(206 546)</t>
  </si>
  <si>
    <t>(206 547)</t>
  </si>
  <si>
    <t>1.4.2.98.на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</si>
  <si>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(309 701)</t>
  </si>
  <si>
    <t>1898 (309 572)</t>
  </si>
  <si>
    <t>1828 (312 552)</t>
  </si>
  <si>
    <t>2317</t>
  </si>
  <si>
    <t>1.6.4.2.17. создание условий для организации досуга и обеспечения жителей городского и сельского поселения услугами организаций культуры</t>
  </si>
  <si>
    <t>Решение Думы Колпашевского района от 27.11.2015 № 37 "О финансировании расходов  на создание условий, обеспечивающих приток педагогических кадров в муниципальную систему образования Колпашевского района" (в редакции от 31.05.2018 № 34, от 28.08.2018 № 65, от 24.04.2019 № 38)</t>
  </si>
  <si>
    <t>Постановление Главы Колпашевского района от 07.05.2019 № 75 "О порядке расходования бюджетных ассигнований резервного фонда финансирования непредвиденных расходов Администрации Томской области" (в соответствии с распоряжением АТО от 09.04.2019 № 88-р-в)</t>
  </si>
  <si>
    <t>07.05.2019- 31.12.2019</t>
  </si>
  <si>
    <t>Постановление Главы Колпашевского района от 21.03.2019 № 52 "О порядке расходования бюджетных ассигнований резервного фонда финансирования непредвиденных расходов Администрации Томской области" (в соответствии с распоряжением АТО от 01.03.2019 № 43-р-в)</t>
  </si>
  <si>
    <t>21.03.2019- 31.12.2019</t>
  </si>
  <si>
    <t>(221 521)</t>
  </si>
  <si>
    <t>(410 539)</t>
  </si>
  <si>
    <t>1.6.4.2.31. организация ритуальных услуг и содержание мест захоронения</t>
  </si>
  <si>
    <t>2331</t>
  </si>
  <si>
    <t>(221 520)</t>
  </si>
  <si>
    <t>(221 522)</t>
  </si>
  <si>
    <t>Постановление Администрации Колпашевского района от 13.06.2019 № 637 "О порядке расходования средств иного межбюджетного трансферта на создание виртуальных концертных залов по результатам конкурсного отбора, проводимого Министерством культуры Российской Федерации"</t>
  </si>
  <si>
    <t>13.06.2019- 31.12.2019</t>
  </si>
  <si>
    <t>(209 524)</t>
  </si>
  <si>
    <t>1.1.1.34. 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t>
  </si>
  <si>
    <t>1.6.4.2.18. сохранение, использование и популяризация объектов культурного наследия (памятников истории и культуры), находящихся в собственности городского и сельского поселения, охрана объектов культурного наследия (памятников истории и культуры) местного (муниципального) значения, расположенных на территории городского и сельского поселения</t>
  </si>
  <si>
    <t>2318</t>
  </si>
  <si>
    <t>(208 526)</t>
  </si>
  <si>
    <t>(100 333)</t>
  </si>
  <si>
    <t>(Д)</t>
  </si>
  <si>
    <t>(соф)</t>
  </si>
  <si>
    <t>31.07.2019, не установлен</t>
  </si>
  <si>
    <t>Решение Думы Колпашевского района от 31.07.2015 № 69 "О размере, условиях и порядке предоставления компенсации расходов, связанных с переездом, лицам, заключившим трудовые договоры о работе в органах местного самоуправления муниципального образования «Колпашевский район», муниципальных учреждениях, финансируемых из бюджета муниципального образования «Колпашевский  район», и прибывшим в соответствии с этими договорами из других регионов Российской Федерации" (в редакции от 04.07.2019 № 63)</t>
  </si>
  <si>
    <t>1.6.4.2.24. участие в организации деятельности по сбору (в том числе раздельному сбору) и транспортированию твердых коммунальных отходов</t>
  </si>
  <si>
    <t>Постановление Администрации Колпашевского района от 22.11.2018 № 1261 "Об утверждении Порядка организации регулярных перевозок автомобильным транспортом в границах одного сельского поселения, в границах двух и более поселений муниципального образования "Колпашевский район"</t>
  </si>
  <si>
    <t>22.11.2018, не установлен</t>
  </si>
  <si>
    <t>Постановление Администрации Колпашевского района от 18.07.2019 № 772 "Об утверждении Положения об организации отдыха детей в каникулярное время на территории муниципального образования "Колпашевский район"</t>
  </si>
  <si>
    <t>раздел IV Положения</t>
  </si>
  <si>
    <t>18.07.2019, не установлен</t>
  </si>
  <si>
    <t>Постановление Администрации Колпашевского района от 30.06.2010 № 851 "Об установлении расходных обязательств по осуществлению отдельных государственных полномочий, переданных в соответствие с п.5 ст.1 Закона Томской области от 15.12.2004 № 246-ОЗ" (в редакции от 13.03.2014 № 221, от 14.08.2019 № 928)</t>
  </si>
  <si>
    <t>Постановление Администрации Колпашевского района от 23.05.2012 № 496 "Об утверждении Порядка финансирования официальных физкультурно-оздоровительных и спортивных мероприятий муниципального образования "Колпашевский район" (в редакции постановлений Администрации Колпашевского района от 23.07.2012 № 702, от 31.08.2012 № 859, от 28.03.2013 № 292, от 03.07.2013 № 632, от 18.07.2013 № 711, от 23.08.2013 № 866, от 16.09. 2013 № 974, от 25.10.2013 № 1138, от 06.02.2014 №104, от 23.06.2014 № 585; от 06.10.2014 № 1145; от 04.03.2015 № 268; от 14.04.2015 № 407, от 12.11.2015 № 1147, от 12.04.2016 №372, от 10.08.2016 № 888, от 21.06.2017 № 584, от 05.04.2018 № 294, от 21.08.2019 № 945)</t>
  </si>
  <si>
    <t>01.07.2019, не установлен</t>
  </si>
  <si>
    <t>1.1.1.66.   организация библиотечного обслуживания населения, комплектование и обеспечение сохранности библиотечных фондов библиотек сельского поселения</t>
  </si>
  <si>
    <t>1.6.2.47. участие в соответствии с Федеральным законом от 24 июля 2007 г. № 221-ФЗ «О государственном кадастре недвижимости» в выполнении комплексных кадастровых работ</t>
  </si>
  <si>
    <t>2349 (100 339)</t>
  </si>
  <si>
    <t>1036</t>
  </si>
  <si>
    <t>29.08.2019- 21.11.2019</t>
  </si>
  <si>
    <t>Постановление администрации Колпашевского района от 29.08.2019 № 981 "О предоставлении иных межбюджетных трансфертов бюджету муниципального образования "Колпашевское городское поселение" на организацию и проведение районных конкурсов, соревнований, слётов, фестивалей в сфере туризма" (в редакции от 16.09.2019 № 1052)</t>
  </si>
  <si>
    <t>Постановление Администрации Колпашевского района от 27.09.2019 № 1091 "О предоставлении средств иных межбюджетных трансфертов на награждение сельского поселения, победителя районной сельскохозяйственной ярмарки "Дары осени", из бюджета муниципального образования "Колпашевский район" в 2019 году"</t>
  </si>
  <si>
    <t>27.09.2019- 30.11.2019</t>
  </si>
  <si>
    <t>Решение Думы Колпашевского района от 13.07.2010 № 875 "Об утверждении Положения о поряке управления и распоряжения имуществом, его приватизации и использования доходов от приватизации и использования имущества, находящегося в собственности МО "Колпашевский район" (в редакции решений Думы Колпашевского района от 23.08.2010 № 914, от 24.12.2010 № 32, от 18.03.2011 № 21, от 23.04.2012 № 48, от 24.05.2012 № 85, от 16.07.2012 № 95, от 19.12.2012 № 151, от 29.04.2013 № 33, от 25.11.2013 № 102, от 17.03.2014 № 18, от 27.10.2014 № 117, от 26.01.2015 № 7, от 24.08.2016 № 84, от 24.11.2016 № 114, от 26.02.20108 № 13, от 29.03.2018 № 21, от 27.03.2019 № 34, от 04.07.2019 № 67)</t>
  </si>
  <si>
    <t>13.07.2010, не установлен</t>
  </si>
  <si>
    <t>1854 (691)</t>
  </si>
  <si>
    <t>(100 309)</t>
  </si>
  <si>
    <t xml:space="preserve">1.6.4.2.7. создание условий для предоставления транспортных услуг населению и организация транспортного обслуживания населения в границах городского и сельского поселения (в части водного транспорта) </t>
  </si>
  <si>
    <t xml:space="preserve">Решение Думы Колпашевского района от 23.04.2012 № 67 "О порядке использования средств бюджета муниципального образования «Колпашевский район» на реализацию мероприятий по созданию условий для обеспечения поселений, входящих в состав Колпашевского района, услугами по организации досуга и услугами организаций культуры" (в редакции от 25.11.2013 № 105, от 22.09.2014 № 92, от 15.12.2014 № 153, от 25.03.2015 № 27, от 07.09.2015 № 82, от 27.11.2015 № 38, от 30.05.2016 № 48, от 20.10.2016 № 97, от 25.11.2019 № 132)
</t>
  </si>
  <si>
    <t>Решение Думы Колпашевского района от 28.04.2014 № 42 "О финансировании расходов на создание условий для оказания медицинской помощи населению на территории Колпашевского района" (в редакции от 22.09.2014 № 90, от 15.12.2014 № 159, от 02.11.2015 № 8, от 29.01.2016 № 3, от 29.02.2016 № 10, от 27.04.2017 № 29, от 18.12.2018 № 121, от 25.11.2019 № 133)</t>
  </si>
  <si>
    <t>Постановление Администрации Колпашевского района от 06.05.2019 № 448 "О порядке распределения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 (в редакции от 29.11.2019 № 1340)</t>
  </si>
  <si>
    <t>(210 519)</t>
  </si>
  <si>
    <t>1.2.19.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</si>
  <si>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Постановление Администрации Колпашевского района от 26.07.2019 № 818 "О порядке расходования средств субсидии на софинансирование реализации проектов, отобранных по итогам проведения конкурса проектов по организации и проведению в 2019 году мероприятий, направленных на поддержку развития социального туризма в рамках реализации государственной программы "Развитие культуры и туризма в Томской области" (в редакции от 10.01.2020 № 4)</t>
  </si>
  <si>
    <t>Постановление Администрации Колпашевского района от 19.12.2019 № 1453 "О предоставлении субсидии на осуществление капитальных вложений в объекты капитального строительства муниципальной собственности и объекты недвижимого имущества, приобретаемые в муниципальную собственность"</t>
  </si>
  <si>
    <t>19.12.2019- 23.12.2019</t>
  </si>
  <si>
    <t>0705</t>
  </si>
  <si>
    <t>1219</t>
  </si>
  <si>
    <t>2347</t>
  </si>
  <si>
    <t>2349</t>
  </si>
  <si>
    <t>2324</t>
  </si>
  <si>
    <t>Решение Думы Колпашевского района от 28.10.2013 № 91 "О создании муниципального дорожного фонда муниципального образования "Колпашевский район" и утверждении положения о порядке формирования и использования бюджетных ассигнований муниципального дорожного фонда муниципального образования "Колпашевский район" (в редакции от 28.04.2014 № 38, от 18.12.2019 № 150)</t>
  </si>
  <si>
    <t>1.1.1.20.4. МП "Обеспечение безопасности  населения Колпашевского района"</t>
  </si>
  <si>
    <t>1.1.1.20.5. МП "Развитие муниципальной системы образования в Колпашевском районе"</t>
  </si>
  <si>
    <t>1.1.1.32.4. Иные межбюджетные трансферты на создание виртуальных концертных залов по результатам конкурсного отбора, проводимого Министрерством культуры Российской Федерации</t>
  </si>
  <si>
    <t>1.1.1.32.5. Субсидия бюджетам муниципальных образований на разработку проектной документации на строительство объектов муниципальной собственности в сфере культуры</t>
  </si>
  <si>
    <t>1.4.1.2. по составлению (изменению) списков кандидатов в присяжные заседатели федеральных судов общей юрисдикции в РФ</t>
  </si>
  <si>
    <t>(311 556)</t>
  </si>
  <si>
    <t>(312 562) (311 556)</t>
  </si>
  <si>
    <t>(100 306)</t>
  </si>
  <si>
    <t>2347 (206 528)</t>
  </si>
  <si>
    <t>(227 548)</t>
  </si>
  <si>
    <t>1.1.1.84. создание условий для развития сельскохозяйственного производства в поселениях в сфере рыбоводства и рыболовства</t>
  </si>
  <si>
    <t>1086 (206 507)</t>
  </si>
  <si>
    <t>проект</t>
  </si>
  <si>
    <t>1.6.4.2.2.2.4. субсидия на компенсацию сверхнормативных расходов и выпадающих доходов ресурсоснабжающих организаций</t>
  </si>
  <si>
    <t>(201 504)</t>
  </si>
  <si>
    <t>(219 514)</t>
  </si>
  <si>
    <t>(226 538)</t>
  </si>
  <si>
    <t>(226 539)</t>
  </si>
  <si>
    <t>(227 508)</t>
  </si>
  <si>
    <t>(227 509)</t>
  </si>
  <si>
    <t>1.1.1.17.4.Субсидия местным бюджетам на капитальный ремонт муниципальных дошкольных образовательных организаций (включая разработку проектной документации) в рамках государственной программы "Развитие образования в Томской области" (Капитальный ремонт Озеренского детского сада в Колпашевском районе)</t>
  </si>
  <si>
    <t>1.1.1.17.5. Субсидия 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федерального бюджета)</t>
  </si>
  <si>
    <t>(209 515)</t>
  </si>
  <si>
    <t>1.1.1.17.6. Субсидия на создание новых мест в образовательных организациях различных типов для реализации дополнительных общеразвивающих программ всех направленностей (софинансирование за счет средств областного бюджета к средствам федерального бюджета)</t>
  </si>
  <si>
    <t>(209 516)</t>
  </si>
  <si>
    <t>(209 517)</t>
  </si>
  <si>
    <t>(208 510)</t>
  </si>
  <si>
    <t>1086</t>
  </si>
  <si>
    <t>Решение Думы Колпашевского района от 18.12.2019 № 146 "О предоставлении иных межбюджетных трансфертов бюджету муниципального образования "Колпашевское городское поселение" на выполнение проектных работ по реконструкции тепловых сетей в 2020 году"</t>
  </si>
  <si>
    <t>01.01.2020- 31.12.2020</t>
  </si>
  <si>
    <t>01.01.2020, не указан</t>
  </si>
  <si>
    <t>31.01.2020- 31.12.2020</t>
  </si>
  <si>
    <t>Решение Думы Колпашевского района от 31.01.2020 № 9 "О предоставлении иных межбюджетных трансфертов бюджету муниципального образования "Чажемтовское сельское поселение" на обустройство спортивных объектов в с. Чажемто"</t>
  </si>
  <si>
    <t>31.01.2020- 01.05.2020</t>
  </si>
  <si>
    <t>Решение Думы Колпашевского района от 31.01.2020 № 10 "О предоставлении и распределении иных межбюджетных трансфертов бюджетам поселений Колпашевского района на обеспечение условий для развития физической культуры и массового спорта"</t>
  </si>
  <si>
    <t>31.01.2020- 25.12.2020</t>
  </si>
  <si>
    <t>Решение Думы Колпашевского района от 31.01.2020 № 11 "О предоставлении иных межбюджетных трансфертов бюджету муниципального образования "Новоселовское сельское поселение" на ликвидацию мест несанкционированного размещения твёрдых коммунальных отходов"</t>
  </si>
  <si>
    <t>Решение Думы Колпашевского района от 31.01.2020 № 12 "О предоставлении иных межбюджетных трансфертов бюджетам муниципальных образований Колпашевского района на проектирование зон санитарной охраны источников водоснабжения"</t>
  </si>
  <si>
    <t>Решение Думы Колпашевского района от 31.01.2020 № 13 "О предоставлении иных межбюджетных трансфертов бюджету муниципального образования "Колпашевское городское поселение" на проектирование объекта: "Газораспределительные сети г.Колпашево и с.Тогур Колпашевского района Томской области, VIII очередь. 1 этап"</t>
  </si>
  <si>
    <t>31.01.2020- 23.12.2020</t>
  </si>
  <si>
    <t>31.01.2020, не установлен</t>
  </si>
  <si>
    <t>Постановление Администрации Колпашевского района от 19.02.2020 № 168 "О порядке расходования средств субсидии из бюджета Томской области на сздание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</si>
  <si>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19.02.2020- 31.12.2020</t>
  </si>
  <si>
    <t>01.01.2020, не установлен</t>
  </si>
  <si>
    <t>Постановление Администрации Томской области от 26.09.2019 N 340а "Об утверждении государственной программы "Развитие транспортной системы в Томской области"</t>
  </si>
  <si>
    <t>Прил. № 1</t>
  </si>
  <si>
    <t>Постановление Администрации Колпашевского района от 18.19.2018 № 994 "Об утверждении порядка компенсации расходов по оплате найма жилого помещения" (в редакции от 27.06.2019 № 685)</t>
  </si>
  <si>
    <t>Постановление Адми нистрации Колпашевского района от 14.03.2016 № 252 "Об утверждении Порядка предоставления мер социальной поддержки, предусмотренных решением Думы Колпашевского района от 27.11.2015 № 37" (в редакции от 06.12.2016 № 1330, от 27.03.2017 № 259, от 17.10.2018 № 116, от 28.01.2020 № 70)</t>
  </si>
  <si>
    <t>Постановление Адми нистрации Колпашевского района от 14.03.2016 № 252 "Об утверждении Порядка предоставления мер социальной поддержки, предусмотренных решением Думы Колпашевского района от 27.11.2015 № 37" (в редакции от 06.12.2016 № 1330, от 27.03.2017 № 259, от 17.10.2018 № 1116, от 28.01.2020 № 70)</t>
  </si>
  <si>
    <t>Постановление Администрации Томской области от 27.09.2019 N 342а "Об утверждении государственной программы "Развитие образования в Томской области"</t>
  </si>
  <si>
    <t>прил. №2 подпр.1</t>
  </si>
  <si>
    <t>Постановление Администрации Томской области от 27.09.2019 N 361а "Об утверждении государственной программы "Социальная поддержка населения Томской области"</t>
  </si>
  <si>
    <t>Подпрограмма 4</t>
  </si>
  <si>
    <t>Постановление Главы Колпашевского района от 25.04.2014 № 68 "Об утверждении положения об оплате труда и ежегодных основных оплачиваемых отпусках, ежегодных дополнительных оплачиваемых отпусках работников муниципальных архивных учреждений" (в редакции от 09.02.2015 № 18, от 15.09.2016 № 217, от 04.10.2016 № 233, от 09.02.2017 № 20, от 02.06.2017 № 96, от 30.01.2018 № 16, от 11.02.2019 № 28, от 23.10.2019 № 201)</t>
  </si>
  <si>
    <t>Постановление Администрации Томской области от 27.09.2019 № 347а "Об утверждении государственной программы "Развитие культуры и туризма в Томской области"</t>
  </si>
  <si>
    <t>Прил. № 4</t>
  </si>
  <si>
    <t>Прил. № 3</t>
  </si>
  <si>
    <t>Постановление Администрации Колпашевского района от 16.12.2015 № 1301 "Об утверждении Порядка формирования муниципального задания в отношении муниципальных учреждений муниципального образования "Колпашевский район" и Порядка финансового обеспечения выполнения муниципального задания муниципальными учреждениями в муниципальном образовании "Колпашевский район" (в редакции от 18.01.2016 № 11, от 06.07.2016 № 738, от 11.11.2016 № 1250, от 21.01.2017 № 120, от 27.10.2017 № 1134, от 09.10.2018 № 1072, от 05.12.2018 № 1306)</t>
  </si>
  <si>
    <t>Постановление Администрации Колпашевского района от 07.02.2018 № 93 "Об утверждении положений о предоставлении субсидий сельскохозяйственным товаропроизводителям из бюджета муниципального образования "Колпашевский район" (в редакции от 25.05.2018 № 449, от 08.02.2019 № 115, от 19.03.2019 № 250, от 19.12.2019 № 1454)</t>
  </si>
  <si>
    <t>Постановление Администрации Томской области от 27.09.2019 № 360а "Об утверждении государственной программы "Развитие предпринимательства и повышение эффективности государственного управления социально-экономическим развитием Томской области"</t>
  </si>
  <si>
    <t>Подпрограмма 1, соотв. Порядок</t>
  </si>
  <si>
    <t>Решение Думы Колпашевского района от 30.03.2007 № 307 "Об утверждении Положения об обеспечении условий для развития на территории муниципальногообразования "Колпашевский район"физической культуры и массового спорта , организация проведения официальных физкультурно-оздоровительных мероприятий Колпашевского района (в редакции от 30.08.2007 № 356, от 28.08.2007 № 525, от 24.05.2010 № 835, от 25.04.2011 № 39, от 23.04.2012 № 68, от 15.12.2014 № 155, от 30.05.2016 № 50, от 24.08.2016 № 67, от 30.05.2017 № 41, от 28.09.2017 № 82, от 18.06.2018 № 41, от 26.02.2020 № 23)</t>
  </si>
  <si>
    <t>Постановление Администрации Томской области от 27.09.2019 N 345а "Об утверждении государственной программы "Развитие молодежной политики, физической культуры и спорта в Томской области"</t>
  </si>
  <si>
    <t>Прил. № 8 подпр 2</t>
  </si>
  <si>
    <t>Прил. к подпр 1</t>
  </si>
  <si>
    <t>Прил. № 5 к подпр 2</t>
  </si>
  <si>
    <t>Решение Думы Колпашевского района от 29.11.2006 № 240 "Об утверждении Положения "Об организации и осуществлении мероприятий межпоселенческого характера по работе с детьми и молодежью на территории муниципального образования "Колпашевский район" (в редакции от 15.12.2014 № 162, от 25.03.2015 № 31, от 18.12.2019 № 142, от 26.02.2020 № 27)</t>
  </si>
  <si>
    <t>Прил, № 5</t>
  </si>
  <si>
    <t>Решение Думы Колпашевского района от 18.12.2019 № 141 "О принятии муниципальным образованием "Колпашевский район" осуществления части полномочий по решению вопроса местного значения "Организация библиотечного обслуживания населения, комплектование и обеспечение сохранности библиотечных фондов библиотек поселения"</t>
  </si>
  <si>
    <t>Решение Думы Колпашевского района от 25.03.2015 № 29 "О принятии муниципальным образованием "Колпашевский район" осуществления части полномочий по решению вопросов местного значения" (в редакции от 24.08.2016 № 65, от 18.12.2019 № 143)</t>
  </si>
  <si>
    <t>Решение Думы Колпашевского района от 15.12.2014 № 151 "Об Управлении по культуре, спорту и молодёжной политике Администрации Колпашевского района и утверждении Положения об Управлении по культуре, спорту и молодёжной политике Администрации Колпашевского района" (в редакции от 28.06.2016 № 54, 25.09.2019 № 99)</t>
  </si>
  <si>
    <t>Решение Думы Колпашевского района от 31.05.2006 № 154 "Об учреждении Управления образования Администрации Колпашевского района и утверждении Положения об Управлении образования Администрации Колпашевского района" (в редакции от 31.10.2006 № 221, от 14.02.2011 № 2, от 20.06.2011 № 58, от 30.01.2014 № 4, от 29.05.2015 № 45,от 02.11.2015 № 7, от 30.05.2017 № 40)</t>
  </si>
  <si>
    <t>Постановление Администрации Томской области от 25.09.2019 № 337а "Об утверждении государственной программы "Жилье и городская среда Томской области"</t>
  </si>
  <si>
    <t>Подпр.1 прил.1 прил.2</t>
  </si>
  <si>
    <t>Постановление Администрации Томской области от 26.09.2019 N 338а "Об утверждении государственной программы "Развитие сельского хозяйства, рынков сырья и продовольствия в Томской области"</t>
  </si>
  <si>
    <t>Постановление Правительства РФ от 14.07.2012 N 717 "О Государственной программе развития сельского хозяйства и регулирования рынков сельскохозяйственной продукции, сырья и продовольствия"</t>
  </si>
  <si>
    <t>Прил 6</t>
  </si>
  <si>
    <t>01.08.2013- 31.12.2025</t>
  </si>
  <si>
    <t>Решение Думы Колпашевского района от 19.12.2012 № 160 "О Почетной грамоте и Благодарственном письме Думы Колпашевского района" (в редакции от 25.11.2013 № 110, от 21.12.2015 № 64, от 26.02.2020 № 32)</t>
  </si>
  <si>
    <t>ст. 1-2</t>
  </si>
  <si>
    <t>п. 44.2) ст. 26.3.</t>
  </si>
  <si>
    <t>19.10.1999, не установлен</t>
  </si>
  <si>
    <t>Федеральный закон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</si>
  <si>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Постановление Администрации Колпашевского района от 30.06.2010 № 861 "Об установлении расходного бязательства МО "Колпашевский район" по осуществлению государственных полномочий по регистрации и учету граждан, имеющих право на получение социальных выплат для приобретения жилья в связи с переселением из районов Крайнего Севера и приравненных к ним местностей" (в редакции от 18.03.2015 № 307)</t>
  </si>
  <si>
    <t>Постановление Администрации Томской области от 26.09.2019 года № 339а «Об утверждении государственной программы «Улучшение инвестиционного климата и развитие экспорта Томской области»</t>
  </si>
  <si>
    <t>Подпр.3
прил. 1</t>
  </si>
  <si>
    <t>Постановление Администрации Колпашевского района от 27.09.2019 № 346а "Об утверждении государственной программы "Развитие инфраструктуры в Томской области"</t>
  </si>
  <si>
    <t>Прил.2</t>
  </si>
  <si>
    <t>Постановление Администрации Томской области от 26.09.2019 N 340а "Об утверждении государственной программы "Развитие транспортной инфраструктуры в Томской области"</t>
  </si>
  <si>
    <t>Подпр.2
прил.1</t>
  </si>
  <si>
    <t>Постановление Администрации Томской области от 25.09.2019 N 337а "Об утверждении государственной программы "Жилье и городская среда Томской области"</t>
  </si>
  <si>
    <t>Прил. 1 к подпр. Обеспечение доступности и комфортности жилища</t>
  </si>
  <si>
    <t>Подпр.1
прил.2</t>
  </si>
  <si>
    <t>Постановление Администрации Томской области от 27.09.2019 N 345а "Об утверждении государственной программы "Развитие молодежной политики, физической культуры и спорта в Томской области"</t>
  </si>
  <si>
    <t>Подпр.2 Прил.8</t>
  </si>
  <si>
    <t>Постановление Администрации Томской области от 27.09.019 N 357а "Об утверждении государственной программы "Обращение с отходами, в том числе с твердыми коммунальными отходами, на территории Томской области"</t>
  </si>
  <si>
    <t>01.01.2020- 31.12.2024</t>
  </si>
  <si>
    <t>Подпр.1 Прил. 4</t>
  </si>
  <si>
    <t>Постановление Администрации Томской области от 25.09.2019 N 337а "Об утверждении государственной программы "Жилье и городская среда Томской области"</t>
  </si>
  <si>
    <t>Прил.1</t>
  </si>
  <si>
    <t>Постановление Администрации томской области от 26.09.2019 № 338а "Об утверждении государственной программы "Развитие сельского хозяйства, рынков сырья и продовольствия в Томской области"</t>
  </si>
  <si>
    <t>Прил. к подпр.1</t>
  </si>
  <si>
    <t>01.01.2020-31.12.2024</t>
  </si>
  <si>
    <t>Постановление Администрации Томской области от 27.09.2019 N 358а "Об утверждении государственной программы "Комплексное развитие сельских территорий Томской области"</t>
  </si>
  <si>
    <t>Подпр.1  Прил.3</t>
  </si>
  <si>
    <t>(218 597)</t>
  </si>
  <si>
    <t>1.6.4.2.15.1.  Субсидия на обеспечение жителей отдаленных населенных пунктов Томской области услугами связи в рамках государственной программы "Развитие транспортной инфраструктуры в Томской области"</t>
  </si>
  <si>
    <t>Постановление Администрации Томской области от 26.09.2019 N 340а "Об утверждении государственной программы "Развитие транспортной инфраструктуры в Томской области"</t>
  </si>
  <si>
    <t>Подпр.1 прил.3</t>
  </si>
  <si>
    <t>Подпр.1 Прил. 2</t>
  </si>
  <si>
    <t>Постановление Администрации Томской области от 27 сентября 2019 г. N 357а 
"Об утверждении государственной программы "Обращение с отходами, в том числе с твердыми коммунальными отходами, на территории Томской области"</t>
  </si>
  <si>
    <t>Подпр.1 Прил.3</t>
  </si>
  <si>
    <t>Постановление Администрации Томской области от 27 сентября 2019 г. N 342а 
"Об утверждении государственной программы "Развитие образования в Томской области"</t>
  </si>
  <si>
    <t>Прил. 6</t>
  </si>
  <si>
    <t>(100 323) (100 308)</t>
  </si>
  <si>
    <t>Решение Думы Колпашевского района от 26.02.2020 № 25 "О предоставлении иных межбюджетных трансфертов бюджету муниципального образования "Колпашевское городское поселение" на приобретение и монтаж звукового оборудования для обеспечения звукового сопровождения мероприятий в г.Колпашево"</t>
  </si>
  <si>
    <t>26.02.2020- 25.12.2020</t>
  </si>
  <si>
    <t>Решение думы Колпашевского района от 26.02.2020 № 26 "О предоставлении и распределении иных межбюджетных трансфертов бюджетам поселений Колпашевского района на обеспечение комплексного развития сельских территорий (реализация проектов по благоустройству сельских территорий)"</t>
  </si>
  <si>
    <t>26.02.2020-25.12.2020</t>
  </si>
  <si>
    <t>Решение Думы Колпашевского района от 26.02.2020 № 29 "О предоставлении иных межбюджетных трансфертов бюджету муниципального образования "Колпашевское городское поселение" на организацию теплоснабжения населения"</t>
  </si>
  <si>
    <t>26.02.2020- 04.12.2020</t>
  </si>
  <si>
    <t>Постановление Админи страции Колпашевского района от 28.02.2020 № 196 "О порядке расходования в 2020 году средств субсидии из областного бюджета бюджету муниципального образования "Колпашевский район" на капитальный ремонт муниципальных дошкольных образовательных организаций (включая разработку проектной документации) в рамках государственной программы "Развитие образования в Томской области" (капитальный ремонт Озёренского детского сада в Колпашевском районе)"</t>
  </si>
  <si>
    <t>28.02.2020- 31.12.2020</t>
  </si>
  <si>
    <t>Постановление Администрации Томской области от 25.09.2019 N 337а "Об утверждении государственной программы "Жилье и городская среда Томской области"</t>
  </si>
  <si>
    <t>Подпр. 1 прил.1</t>
  </si>
  <si>
    <t>06.03.2020- 31.12.2020</t>
  </si>
  <si>
    <t>06.03.2020-31.12.2020</t>
  </si>
  <si>
    <t>Постановление Администрации Колпашевского района от 18.03.2020 № 277 "О порядке расходования средств субсидии на обеспечение участия спортивных сборных команд муниципальных районов и городских округов Томской области в официальных региональных спортивных, физкультурных мероприятиях, проводимых на территории Томской области, за исключением спортивных сборных команд муниципального образования "Город Томск", муниципального образования "Городской округ - закрытое административно-территориальное образование Северск Томской области", муниципального образования "Томский район"</t>
  </si>
  <si>
    <t>18.03.2020- 31.12.2020</t>
  </si>
  <si>
    <t>1.1.1.17.7. Субсидия на обеспечение антитеррористической защиты объектов образования, выполнение мероприятий противодействия деструктивным идеологиям, модернизация систем противопожарной защиты</t>
  </si>
  <si>
    <t>(209 503)</t>
  </si>
  <si>
    <t>(226 803)</t>
  </si>
  <si>
    <t>1.1.1.83. участие в соответствии с Федеральным законом от 24 июля 2007 г.  № 221-ФЗ «О государственном кадастре недвижимости» в выполнении комплексных кадастровых работ на территории сельского поселения</t>
  </si>
  <si>
    <t>1.2.26. выплаты гражданам денежных вознаграждений в связи с присвоением почетных званий, получением наград, поощрений</t>
  </si>
  <si>
    <t>1226</t>
  </si>
  <si>
    <t>1085</t>
  </si>
  <si>
    <t>1.4.1.30. осуществление полномочий по проведению Всероссийской переписи населения 2020 года</t>
  </si>
  <si>
    <t>1731 (303 506)</t>
  </si>
  <si>
    <t>1.4.2.7.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</si>
  <si>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</si>
  <si>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</si>
  <si>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2001 (309 569, 309 588)</t>
  </si>
  <si>
    <t>2002 (309 569, 309 588)</t>
  </si>
  <si>
    <t>2106 (584)</t>
  </si>
  <si>
    <t>2107 (552, 563, 582)</t>
  </si>
  <si>
    <t>2329 (100 306) (100 317)</t>
  </si>
  <si>
    <t>(213 542) (299 801)</t>
  </si>
  <si>
    <t>Решение думы колпашевского района от 25.03.2020 № 36 "О порядке расходования средств бюджетных ассигнований резервного фонда финансирования непредвиденных расходов Администрации Томской области на приобретение материалов для благоустройства аллеи славы в с. Новоильинка"</t>
  </si>
  <si>
    <t>25.03.2020- 31.12.2020</t>
  </si>
  <si>
    <t>Постановление Администрации Томской области от 27.10.2008 № 32а "Об утверждении Порядка использования бюджетных ассигнований резервного
фонда финансирования непредвиденных расходов Администрации
Томской области"</t>
  </si>
  <si>
    <t>Постановление Администрации Колпашевского района от 31.03.2020 № 346 "О порядке расходования средств субсидии из областного бюджета на достижение целевых показателей по плану мероприятий ("дорожной карте") "Изменения в сфере культуры, направленные на повышение её эффективности", в части повышения заработной платы работников муниципальных учреждений культуры"</t>
  </si>
  <si>
    <t>Постановление Администрация Колпашевского района от 15.04.2020 № 41 "О порядке и сроках расходования средств бюджетных ассигнований резервного фонда финансирования непредвиденных расходов Администрации Томской области" (распоряжение АТО от 15.04.2020 № 41)</t>
  </si>
  <si>
    <t>15.04.2020- 31.12.2020</t>
  </si>
  <si>
    <t>16.04.2020, не установлен</t>
  </si>
  <si>
    <t>Решение Думы Колпашевского района от 29.04.2020 № 49 "О предоставлении иных межбюджетных трансферов бюджетам поселений, входящих в состав муниципального образования "Колпашевский район" на софинансирование расходных обязательств по решению вопросов местного значения, возникающих в связи с реализацией проектов, предложенных непосредственно населением муниципальных образований Колпашевского района, входящих в состав Колпашевского района Томской области, победивших в конкурсном отборе"</t>
  </si>
  <si>
    <t>29.04.2020- 31.12.2020</t>
  </si>
  <si>
    <t>Решение Думы Колпашевского района от 25.03.2020 № 35 "О предоставлении иных межбюджетных трансфертов бюджетам поселений Колпашевского района на реализацию мероприятия "Предоставление субсидий бюджетам муниципальных образований Томской области на подготовку проектов генерального плана, правил землепользования и застройки вновь образованных муниципальных образований" подпрограммы "Стимулирование развития жилищного строительства в Томской области" государственной программы "Обеспечение доступности жилья и улучшения качества жилищных условий населения Томской области"</t>
  </si>
  <si>
    <t>23.05.2013- 31.12.2020</t>
  </si>
  <si>
    <t>Решение думы Колпашевского района от 27.05.2020 № 58 "О предоставлении иного межбюджетного трансферта бюджету муниципального образования "Новоселовское сельское поселение" на обеспечение жителей отдаленных населенных пунктов Томской области услугами связи"</t>
  </si>
  <si>
    <t>27.05.2020- 31.12.2020</t>
  </si>
  <si>
    <t>Решение Думы Колпашевского района от 27.05.2020 № 52 "О предоставлении иного межбюджетного трансферта бюджету муниципального образования "Колпашевское городское поселение" на укрепление материально-технической базы"</t>
  </si>
  <si>
    <t>Решение Думы Колпашевского района от 31.01.2020 № 7 "О предоставлении иных межбюджетных трансфертов на приобретение нежилого здания в п.Большая Саровка Саровского сельского поселения Колпашевского района"</t>
  </si>
  <si>
    <t>(100 323)</t>
  </si>
  <si>
    <t>Постановление Главы Колпашевского района от 26.05.2020 № 57 "О порядке расходования средств бюджетных ассигнований резервного фонда финансирования непредвиденных расходов Администрации Томской области" (распоряжение АТО от 13.05.2020 № 127-р-в)</t>
  </si>
  <si>
    <t>26.05.2020- 31.12.2020</t>
  </si>
  <si>
    <t>Решение Думы Колпашевского района от 29.04.2020 № 46 "О предоставлении иных межбюджетных трансфертов бюджету муниципального образования "Колпашевское городское поселение" на выполнение работ по строительному контролю и авторскому надзору по объектам благоустройства мест массового отдыха населения, общественных территорий Колпашевского городского поселения"</t>
  </si>
  <si>
    <t>29.04.2020- 23.12.2020</t>
  </si>
  <si>
    <t>Постановление Администрации Колпашевского района от 30.06.2010г. № 858 "Об установлении расходного обязательства МО "Колпашевский район" по осуществлению отдельных государственных полномочий по ТО по хранению, комплектованию, учету и использованию архивных документов, относящихся к государственной собственности ТО и находящихся на территории МО "Колпашевский район" (в редакции от 07.04.2011 № 322, от 05.11.2013 № 1170, от 06.05.2020 № 449)</t>
  </si>
  <si>
    <t>22.05.2020- 16.10.2020</t>
  </si>
  <si>
    <t>Постановление Администрации Колпашевского района от 25.05.2020 № 515 "О перечислении иных межбюджетных трансфертов Новоселовскому сельскому поселению на исполнение судебного акта"</t>
  </si>
  <si>
    <t>25.05.2020- 31.12.2020</t>
  </si>
  <si>
    <t>Решение Думы Колпашевского района от 25.03.2020 № 38 "О предоставлении иных межбюджетных трансфертов бюджету муниципального образования "Колпашевское городское поселение" на реализацию мероприятия "Повышение уровня благоустройства муниципальных территорий общего пользования" муниципальной программы "Формирование современной городской среды Колпашевского городского поселения на 2018 - 2022 г.г." (в редакции от 27.05.2020 № 54)</t>
  </si>
  <si>
    <t>Решение Думы Колпашевского района от 27.05.2020 № 55 "О предоставлении иного межбюджетного трансферта бюджету муниципального образования "Новоселовское сельское поселение" на выполнение мероприятий по благоустройству населённых пунктов"</t>
  </si>
  <si>
    <t>Решение Думы Колпашевского района от 27.05.2020 № 57 "О предоставлении иных межбюджетных трансфертов бюджетам поселений, входящих в состав муниципального образования "Колпашевский район", на осуществление дорожной деятельности в отношении автомобильных дорог общего пользования местного значения в части разработки проекта организации дорожного движения"</t>
  </si>
  <si>
    <t>Решение Думы Колпашевского района от 27.05.2020 № 60 "О предоставлении иного межбюджетного трансферта бюджету муниципального образования "Колпашевское городское поселение" на выполнение мероприятий по благоустройству спортивной площадки по адресу: г. Колпашево, ул. Кирова, 48/4"</t>
  </si>
  <si>
    <t xml:space="preserve">Решение Думы Колпашевского района от 13.07.2010 № 875 "Об утверждении Положения о поряке управления и распоряжения имуществом, его приватизации и использования доходов от приватизации и использования имущества, находящегося в собственности МО "Колпашевский район" (в редакции решений Думы Колпашевского района от 23.08.2010 № 914, от 24.12.2010 № 32, от 18.03.2011 № 21, от 23.04.2012 № 48, от 24.05.2012 № 85, от 16.07.2012 № 95, от 19.12.2012 № 151, от 29.04.2013 № 33, от 25.11.2013 № 102, от 17.03.2014 № 18, от 27.10.2014 № 117, от 26.01.2015 № 7, от 24.08.2016 № 84, от 24.11.2016 № 114, от 26.02.20108 № 13, от 29.03.2018 № 21, от 27.03.2019 № 34, от 04.07.2019 № 67, от 27.05.2020 № 61)
</t>
  </si>
  <si>
    <t>Постановление Администрации Колпашевского района от 01.06.2020 № 548 "О порядке расходования средств субсидии из областного бюджета бюджетам муниципальных образований Томской области на создание, развитие и обеспечение деятельности муниципальных бизнес-инкубаторов, предусмотренных в муниципальных программах (подпрограммах), содержащих мероприятия, направленные на развитие малого и среднего предпринимательства"</t>
  </si>
  <si>
    <t>Постановление Администрации Колпашевского района от 14.05.2015 № 480 "О порядке расходования средств иных межбюджетных трансфертов, предоставленных из областного бюджета и средств бюджета муниципального образования "Колпашевский район" на оказание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 редакции от 30.06.2016 № 713, от 18.10.2016 № 1143, от 20.12.2016 № 1373, от 25.04.2017 № 367, от 16.11.2017 № 1200, от 22.03.2018 № 237, от 02.07.2018 № 647, от 11.06.2019 № 612, от 12.08.2019 № 890, от 27.12.2019 № 1496, от 12.03.2020 № 245, от 28.05.2020 № 523)</t>
  </si>
  <si>
    <t>01.06.2020- 31.12.2020</t>
  </si>
  <si>
    <t>Постановление Администрации Колпашевского района от 05.06.2020 № 580 "О порядке расходования средств субсидии из областного бюджета на приобретение учебно-методических комплектов для поэтапного введения федеральных государственных образовательных стандартов"</t>
  </si>
  <si>
    <t>05.06.2020- 31.12.2020</t>
  </si>
  <si>
    <t>Постановление Главы Колпашевского района от 05.06.2020 № 62 "О порядке использования бюджетных ассигнований резервного фонда финансирования непредвиденных расходов Администрации Томской области, выделенных муниципальному образованию "Колпашевский район"</t>
  </si>
  <si>
    <t>08.06.2020- 31.12.2020</t>
  </si>
  <si>
    <t>(409 611)</t>
  </si>
  <si>
    <t>(210 501)</t>
  </si>
  <si>
    <t>(203 696)</t>
  </si>
  <si>
    <t>(210 618)</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</si>
  <si>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</si>
  <si>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</si>
  <si>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(100 331</t>
  </si>
  <si>
    <t>(213 502)</t>
  </si>
  <si>
    <t>Постановление Администрации Колпашевского района от 19.06.2020 № 630 "О предоставлении субсидии из бюджета муниципального образования "Колпашевский район" в 2020 году религиозной организации "Колпашевская Епархия Русской Православной Церкви (Московский патриархат)" на возведение Памятной часовни в честь Новомученников и всех безвинно пострадавших в г.Колпашево Томской области"</t>
  </si>
  <si>
    <t>19.06.2020- 31.12.2020</t>
  </si>
  <si>
    <t>Решение думы Колпашевского района от 22.06.2020 № 67 "О материальной помощи на питание обучающихся по образовательным программам начального общего, основного общего и среднего общего образования в общеобразовательных организациях муниципального образования "Колпашевский район" из малоимущих семей, за исключением обучающихся с ограниченными возможностями здоровья"</t>
  </si>
  <si>
    <t>22.06.2020- 31.12.2020</t>
  </si>
  <si>
    <t>Решение Думы Колпашевского района от 25.11.2013 № 106 "О финансировании за счёт бюджета муниципального образования "Колпашевский район" мероприятий, направленных на поддержку решения жилищной проблемы молодых семей" (в редакции от 15.12.2014 № 157, от 30.05.2016 № 47, от 26.02.2018 № 6, от 22.06.2020 № 68)</t>
  </si>
  <si>
    <t>Решение думы Колпашевского района от 22.06.2020 № 70 "О предоставлении иного межбюджетного трансферта бюджету муниципального образования "Колпашевское городское поселение" на реализацию мероприятий по благоустройству дворовых территорий"</t>
  </si>
  <si>
    <t>22.06.2020-25.12.2020</t>
  </si>
  <si>
    <t>Постановление администрации Томской области от 25.09.2019 № 337а "Об утверждении государственной программы "Жилье и городская среда Томской области"</t>
  </si>
  <si>
    <t>Прил № 1</t>
  </si>
  <si>
    <t>22.06.2020- 25.12.2020</t>
  </si>
  <si>
    <t>Решение Думы Колпашевского района от 22.06.2020 № 72 "О предоставлении иного межбюджетного трансферта бюджету муниципального образования "Колпашевское городское поселение" на компенсацию убытков теплоснабжающих организаций от эксплуатации муниципальных котельных"</t>
  </si>
  <si>
    <t>Решение Думы Колпашевского района от 22.06.2020 № 73 "О предоставлении иного межбюджетного трансферта бюджету муниципального образования "Чажемтовское сельское поселение" на организацию водоснабжения населения"</t>
  </si>
  <si>
    <t>Решение Думы Колпашевского района от 22.06.2020 № 74 "О предоставлении иных межбюджетных трансфертов бюджетам поселений, входящих в состав муниципального образования "Колпашевский район", на создание мест (площадок) накопления твёрдых коммунальных отходов"</t>
  </si>
  <si>
    <t>Решение Думы Колпашевского района от 22.06.2020 № 76 "О расходовании средств бюджета муниципального образования "Колпашевский район" на подготовку и проведение общероссийского голосования по вопросу одобрения изменений в Конституцию Российской Федерации"</t>
  </si>
  <si>
    <t>16.06.2020- 31.12.2020</t>
  </si>
  <si>
    <t>Решение Думы Колпашевского района от 22.06.2020 № 75 "О предоставлении иного межбюджетного трансферта бюджету муниципального образования "Колпашевское городское поселение" на осуществление капитальных вложений в объекты муниципальной собственности в сфере газификации" (в редакции от 08.07.2020 № 77)</t>
  </si>
  <si>
    <t>Постановление Администрации Колпашевского района от 14.07.2020 № 729 "О порядке расходования средств субсидии из областного бюджета Томской области, а также средств бюджета муниципального образования "Колпашевский район" на государственную поддержку отрасли культуры в 2020 году"</t>
  </si>
  <si>
    <t>пп.1.1. п.1</t>
  </si>
  <si>
    <t>14.07.2020-31.12.2020</t>
  </si>
  <si>
    <t xml:space="preserve">1.1.1.17.9. расходы за счет резервных фондов Администрации Томской области </t>
  </si>
  <si>
    <t>1.1.1.17.8. Субсидия на реализацию в муниципальных образовательных организациях мероприятий, направленных на предупреждение распространения новой коронавирусной инфекции на территории Томской области</t>
  </si>
  <si>
    <t>(209 529)</t>
  </si>
  <si>
    <t>(209 575)</t>
  </si>
  <si>
    <t>(209 576)</t>
  </si>
  <si>
    <t>(100 343)</t>
  </si>
  <si>
    <t>(100 344)</t>
  </si>
  <si>
    <t>(100 339)</t>
  </si>
  <si>
    <t>(100 335)</t>
  </si>
  <si>
    <t>2318 (100 340)</t>
  </si>
  <si>
    <t>Постановление Администрации Колпашевского района от 15.07.2020 № 732 "Об утверждении Порядка предоставления материальной помощи на питание обучающихся по образовательным программам начального общего, основного общего, среднего общего образования в муниципальных общеобразовательных организациях Колпашевского района из малоимущих семей, за исключением обучающихся с ограниченными возможностями здоровья"</t>
  </si>
  <si>
    <t>15.07.2020- 31.12.2020</t>
  </si>
  <si>
    <t>Решение Думы Колпашевского района от 26.12.2007 № 401 "О порядке расходования средств местного бюджета на финансирование проведения муниципальных выборов" (в редакции от 29.07.2020 № 80)</t>
  </si>
  <si>
    <t>Решение Думы Колпашевского района от 29.07.2020 № 81 "О предоставлении иного межбюджетного трансферта бюджету муниципального образования "Саровское сельское поселение" на проведение ремонта памятника воинам-землякам, погибшим в годы Великой Отечественной войны"</t>
  </si>
  <si>
    <t>Решение Думы Колпашевского района от 29.07.2020 № 82 "О предоставлении иного межбюджетного трансферта бюджету муниципального образования "Колпашевское городское поселение" на организацию транспортного обслуживания населения внутренним водным транспортом в границах муниципального образования "Колпашевское городское поселение"</t>
  </si>
  <si>
    <t>29.07.2020- 20.12.2020</t>
  </si>
  <si>
    <t>29.07.2020- 23.12.2020</t>
  </si>
  <si>
    <t>Решение Думы Колпашевского района от 26.02.2020 № 28 "О предоставлении иных межбюджетных трансфертов бюджету муниципального образования "Инкинское сельское поселение" на организацию электроснабжения от дизельных электростанций" (в редакции от 29.07.2020 № 84)</t>
  </si>
  <si>
    <t>Решение Думы Колпашевского района от 29.07.2020 № 85 "О предоставлении иного межбюджетного трансферта бюджету муниципального образования "Саровское сельское поселение" на организацию уличного освещения"</t>
  </si>
  <si>
    <t>Решение Думы Колпашевского района от 29.07.2020 № 86 "О предоставлении иного межбюджетного трансферта бюджету муниципального образования "Саровское сельское поселение" на осуществление дорожной деятельности в отношении автомобильных дорог общего пользования местного значения в границах населенных пунктов муниципального образования "Саровское сельское поселение" в 2020 году"</t>
  </si>
  <si>
    <t>Решение Думы Колпашевского района от 29.07.2020 № 87 "О предоставлении иного межбюджетного трансферта бюджету муниципального образования "Саровское сельское поселение" на ликвидацию мест несанкционированного размещения твёрдых коммунальных отходов"</t>
  </si>
  <si>
    <t>Решение Думы Колпашевского района от 29.07.2020 № 89 "О предоставлении иного межбюджетного трансферта бюджету муниципального образования "Колпашевское городское поселение" на обустройство и ремонт источников противопожарного водоснабжения в г. Колпашево"</t>
  </si>
  <si>
    <t>29.07.2020- 21.12.2020</t>
  </si>
  <si>
    <t>Постановление Главы Колпашевского района от 31.07.2020 № 86 "О порядке и сроках расходования средств иного межбюджетного трансферта на оказание помощи инвалидам и участникам Великой Отечественной войны 1941-1945 годов в ремонте и (или) переустройстве жилых помещений, в которых они проживают, обустройстве индивидуальных источников водоснабжения, а также других сооружений и построек, предназначенных для удовлетворения бытовых и иных нужд"</t>
  </si>
  <si>
    <t>31.07.2020- 31.12.2020</t>
  </si>
  <si>
    <t>Постановление Администрации Колпашевского района от 03.08.2020 № 772 "О порядке и сроках расходования средств субсидии из областного бюджета бюджету муниципального образования "Колпашевский район" на софинансирование капитальных вложений в объекты муниципальной собственности в сфере обращения с твёрдыми коммунальными отходами"</t>
  </si>
  <si>
    <t>03.08.2020- 31.12.2020</t>
  </si>
  <si>
    <t>Постановление Администрации Колпашевского района от 10.08.2020 № 820 "Об утверждении Порядка предоставления субсидии на возмещение затрат в связи с выполнением работ, оказанием услуг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Колпашевского района"</t>
  </si>
  <si>
    <t>10.08.2020- 31.12.2020</t>
  </si>
  <si>
    <t>11.08.2020- 31.12.2020</t>
  </si>
  <si>
    <t>Постановление Администрации Колпашевского района от 11.08.2020 № 840 "О порядке и сроках расходования средств субсидии из областного бюджета на внедрение и функционирование целевой модели цифровой образовательной среды в общеобразовательных организациях и об утверждении Порядка определения объёма и условий предоставления субсидии из средств бюджета муниципального образования "Колпашевский район" муниципальным бюджетным общеобразовательным организациям и муниципальным автономным общеобразовательным организациям на внедрение и функционирование целевой модели цифровой образовательной среды в общеобразовательных организациях"</t>
  </si>
  <si>
    <t>Постановление Администрации Колпашевского района от 11.08.2020 № 844 "Об утверждении порядка предоставления субсидий юридическим лицам и индивидуальным предпринимателям, осуществляющим промышленное рыболовство, на финансовое обеспечение затрат, связанных с приобретением маломерных судов, лодочных моторов, орудий лова для добычи (вылова) водных биоресурсов, холодильного оборудования, льдогенераторов"</t>
  </si>
  <si>
    <t>11.08.2020, не установлен</t>
  </si>
  <si>
    <t>Постановление Главы Колпашевского района от 18.08.2020 № 99 "О порядке расходования средств бюджетных ассигнований резервного фонда финансирования непредвиденных расходов Администрации Томской области" (распоряжение АТО от 03.08.2020 № 224-р-в)</t>
  </si>
  <si>
    <t>Решение Думы Колпашевского района от 26.08.2020 № 96 "О предоставлении иных межбюджетных трансфертов бюджетам поселений Колпашевского района на организацию водоснабжения населенных пунктов Колпашевского района"</t>
  </si>
  <si>
    <t>26.08.2020- 20.12.2020</t>
  </si>
  <si>
    <t>Решение Думы Колпашевского района от 29.04.2020 № 48 "О предоставлении иных межбюджетных трансфертов бюджету муниципального образования "Колпашевское городское поселение" на благоустройство территории по ул.Кирова, 43 (устройство городской детской - спортивной площадки)" (в редакции от 26.08.2020 № 97)</t>
  </si>
  <si>
    <t>Решение Думы Колпашевского района от 26.08.2020 № 98 "О предоставлении иного межбюджетного трансферта бюджету муниципального образования "Новоселовское сельское поселение" на организацию уличного освещения населенных пунктов Новоселовского сельского поселения"</t>
  </si>
  <si>
    <t>Решение Думы Колпашевского района от 26.08.2020 № 99 "О предоставлении иного межбюджетного трансферта бюджету муниципального образования "Новоселовское сельское поселение" на проведение ремонтных работ в помещении, расположенном по адресу: п. Куржино, ул. Лесная, д. 2, помещение 1"</t>
  </si>
  <si>
    <t>Решение Думы Колпашевского района от 26.08.2020 № 100 "О предоставлении иного межбюджетного трансферта бюджету муниципального образования "Новогоренское сельское поселение" на благоустройство населённых пунктов Новогоренского сельского поселения"</t>
  </si>
  <si>
    <t>Постановление Администрации Колпашевского района от 25.08.2020 № 901 "О порядке и сроках расходования средств субсидии из областного бюджета на реализацию в муниципальных образовательных организациях мероприятий, направленных на предупреждение распространения новой коронавирусной инфекции на территории Томской области и об утверждении Порядка определения объёма и условий предоставления субсидии из средств бюджета муниципального образования "Колпашевский район" муниципальным бюджетным общеобразовательным организациям и муниципальным автономным общеобразовательным организациям на реализацию в муниципальных образовательных организациях мероприятий, направленных на предупреждение распространения новой коронавирусной инфекции на территории Томской области"</t>
  </si>
  <si>
    <t>25.08.2020- 31.12.2020</t>
  </si>
  <si>
    <t>Решение Думы Колпашевского района от 26.08.2020 № 102 "О предоставлении иного межбюджетного трансферта бюджету муниципального образования "Чажемтовское сельское поселение" на проведение кадастровых работ в новом микрорайоне комплексной застройки "Юбилейный" в с. Чажемто"</t>
  </si>
  <si>
    <t>Решение Думы Колпашевского района от 29.04.2013 № 36 "О порядке использования средств бюджета муниципального образования «Колпашевский район на реализацию мероприятий, направленных на создание условий для развития сельскохозяйственного производства в поселениях, расширения рынка сельскохозяйственной продукции, сырья продовольствия" (в редакции от 27.11.2015 № 44, от 25.11.2019 № 124, от 26.08.2020 № 104)</t>
  </si>
  <si>
    <t>Постановление Администрации Колпашевского района от 27.08.2020 № 919 "О порядке и сроках расходования средств субсидии из областного бюджета местным бюджетам в Томской области на реализацию мероприятий по развитию рыбохозяйственного комплекса"</t>
  </si>
  <si>
    <t>Постановление Главы Колпашевского района от 31.08.2020 № 928 "Об утверждении порядка предоставления субсидий победителям конкурса "Лучший предпринимательский проект "стартующего бизнеса" на финансовое обеспечение затрат в связи с производством (реализацией) товаров, выполнением работ, оказанием услуг в рамках реализации предпринимательского проекта"</t>
  </si>
  <si>
    <t>31.08.2020, не установлен</t>
  </si>
  <si>
    <t>Постановление Главы Колпашевского района от 09.09.2020 № 966 "О порядке и сроках расходования средств субсидий из областного бюджета бюджетам муниципальных образований на софинансирование мероприятий муниципальных программ (подпрограмм), направленных на развитие малого и среднего предпринимательства"</t>
  </si>
  <si>
    <t>09.09.2020- 31.12.2020</t>
  </si>
  <si>
    <t>27.08.2020- 31.12.2020</t>
  </si>
  <si>
    <t>Решение Думы Колпашевского района от 08.07.2020 № 78 "О предоставлении иного межбюджетного трансферта бюджету муниципального образования "Колпашевское городское поселение" на расселение граждан из жилых помещений, расположенных в зоне обрушения береговой линии реки Обь в районе города Колпашево"</t>
  </si>
  <si>
    <t>08.07.2020- 31.12.2020</t>
  </si>
  <si>
    <t>13.12.2013- 31.12.2020</t>
  </si>
  <si>
    <t>18.08.2020- 31.12.2020</t>
  </si>
  <si>
    <t>29.07.2020- 01.10.2020</t>
  </si>
  <si>
    <t>26.07.2019- 31.12.2020</t>
  </si>
  <si>
    <t>(100 347)</t>
  </si>
  <si>
    <t>(100 348)</t>
  </si>
  <si>
    <t>(100 349)</t>
  </si>
  <si>
    <t>Постановление Администрации Колпашевского района от 12.08.2014 № 791 "Об утверждении нормативов финансовых затрат на капитальный ремонт, ремонт, содержание автомобильных дорог общего пользования местного значения вне границ населенных пунктов в границах муниципального образования "Колпашевский район" и правил расчета размера ассигнований бюджета муниципального образования "Колпашевский район" на указанные цели" (в редакции от 18.09.2017 № 945, от 03.10.2018 № 1052, от 16.09.2019 № 1055, от 24.09.2020 № 1039)</t>
  </si>
  <si>
    <t>Решение Думы Колпашевского района от 10.09.2012 № 115 "О предоставлении иных межбюджетных трансфертов на поддержку мер по обеспечению сбалансированности местных бюджетов" (в редакции от 28.10.2013 № 85, от 22.09.2014 № 87, от 27.10.2014 № 112, от 07.09.2015 № 80, от 02.11.2017 № 4, от 20.10.2016 № 89, от 26.10.2017 № 97, от 03.10.2018 № 87, от 23.10.2019 № 106, от 331.01.2020 № 2, от 12.10.2020 № 6)</t>
  </si>
  <si>
    <t>Решение Думы Колпашевского района от 16.07.2012 № 91 "Об утверждении Порядка предоставления дотаций на выравнивание бюджетной обеспеченности поселений из бюджета муниципального образования «Колпашевский район» (в редакции от 25.11.2019 № 121, от 12.10.2020 № 7)</t>
  </si>
  <si>
    <t>Решение Думы Колпашевского района от 12.10.2020 № 9 "О предоставлении иного межбюджетного трансферта бюджету муниципального образования "Колпашевское городское поселение" на обустройство и организацию деятельности катка на стадионе"</t>
  </si>
  <si>
    <t>12.10.2020- 21.12.2020</t>
  </si>
  <si>
    <t>12.10.2020- 25.12.2020</t>
  </si>
  <si>
    <t>Решение Думы Колпашевского района от 12.10.2020 № 11 "О предоставлении иного межбюджетного трансферта бюджету муниципального образования "Колпашевское городское поселение" на ремонт сетей водоснабжения"</t>
  </si>
  <si>
    <t>1.6.4.2.53. Средства резервных фондов администраций муниципальных образований для финансирования непредвиденных расходов</t>
  </si>
  <si>
    <t>2353 (499 720)</t>
  </si>
  <si>
    <t>Постановление Администрации Томской области от 30.10.2020 N 703-ра "Об использовании бюджетных ассигнований резервного фонда финансирования непредвиденных расходов Администрации Томской области"</t>
  </si>
  <si>
    <t>03.09.2020- 31.12.2020</t>
  </si>
  <si>
    <t>Постановление Администрации Колпашевского района от 30.06.2010 № 858 "Об установлении расходного обязательства МО "Колпашевский район" по осуществлению отдельных государственных полномочий по ТО по хранению, комплектованию, учету и использованию архивных документов, относящихся к государственной собственности ТО и находящихся на территории МО "Колпашевский район" (в редакции от 07.04.2011 № 322, от 05.11.2013 № 1170, от 06.05.2020№ 449)</t>
  </si>
  <si>
    <t>Постановление Администрации Колпашевского района от 15.01.2014 № 14 "Об установлении расходных обязательств по осуществлению отдельных государственных полномочий, переданных в соответствии с Законом Томской области от 09.12.2013 № 214-ОЗ" (в редакции от 26.10.2020 № 1155)</t>
  </si>
  <si>
    <t>Постановление Главы Колпашевского района от 02.11.2020 № 137 "О порядке и сроках расходования бюджетных ассигнований резервного фонда финансирования непредвиденных расходов Администрации Томской области" (распоряжение АТО от 06.10.2020 № 664-ра)</t>
  </si>
  <si>
    <t>02.11.2020- 01.12.2020</t>
  </si>
  <si>
    <t>Постановление Администрации Томской области от 29.12.2020 № 482а "Об утверждении Порядка предоставления субвенций местным бюджетам из областного бюджета на осуществление отдельных государственных полномочий по государственной поддержке сельскохозяйственного производства"</t>
  </si>
  <si>
    <t>Решение Думы Колпашевского района от 23.11.2020 № 20 "О предоставлении иного межбюджетного трансферта бюджету муниципального образования "Колпашевское городское поселение" на оплату командировочных расходов победителям конкурса на звание "Лучший муниципальный служащий в Томской области" в 2019 году"</t>
  </si>
  <si>
    <t>Решение Думы Колпашевского района от 22.06.2020 № 71 "О предоставлении иного межбюджетного трансферта бюджету муниципального образования "Колпашевское городское поселение" на ремонт тепловых сетей" (в редакции от 23.11.2020 № 23)</t>
  </si>
  <si>
    <t>Решение Думы Колпашевского района от 29.07.2020 № 83 "О предоставлении иного межбюджетного трансферта бюджету муниципального образования "Колпашевское городское поселение" на проведение капитальных ремонтов объектов коммунальной инфраструктуры в целях подготовки хозяйственного комплекса Томской области к безаварийному прохождению отопительного сезона" (в редакции от 23.11.2020 № 24)</t>
  </si>
  <si>
    <t>Решение Думы Колпашевского района от 23.11.2020 № 25 "О предоставлении иного межбюджетного трансферта бюджету муниципального образования "Колпашевское городское поселение" на организацию водоснабжения населенных пунктов Колпашевского района"</t>
  </si>
  <si>
    <t>23.11.2020- 20.12.2020</t>
  </si>
  <si>
    <t>Решение Думы Колпашевского района от 28.10.2013 № 91 "О создании муниципального дорожного фонда муниципального образования "Колпашевский район" и утверждении положения о порядке формирования и использования бюджетных ассигнований муниципального дорожного фонда муниципального образования "Колпашевский район" (в редакции от 28.04.2014 № 38, от 18.12.2019 № 150, от 12.10.2020 № 10)</t>
  </si>
  <si>
    <t>Решение Думы Колпашевского района от 23.11.2020 № 28 "О предоставлении иного межбюджетного трансферта бюджету муниципального образования "Колпашевское городское поселение" на ликвидацию мест несанкционированного размещения твёрдых коммунальных отходов"</t>
  </si>
  <si>
    <t>Решение Думы Колпашевского района от 23.11.2020 № 29 "О предоставлении иного межбюджетного трансферта бюджету муниципального образования "Чажемтовское сельское поселение" на ремонт сетей водоснабжения"</t>
  </si>
  <si>
    <t>23.11.2020- 27.12.2020</t>
  </si>
  <si>
    <t>Решение Думы Колпашевского района от 29.04.2013 № 37 "О порядке использования средств бюджета муниципального образования "Колпашевский район" на проведение мероприятий по улучшению жилищных условий граждан, проживающих в сельской местности, в том числе молодых семей и молодых специалистов" (в редакции от 31.07.2015 № 71, от 23.11.2020 № 31)</t>
  </si>
  <si>
    <t>(499 721)</t>
  </si>
  <si>
    <t>(100 351)</t>
  </si>
  <si>
    <t>(100 350)</t>
  </si>
  <si>
    <t>Постановление Администрации Колпашевского района от 11.03.2020 № 242 "Об утверждении положений о предоставлении субсидий сельскохозяйственным товаропроизводителям из бюджета муниципального образования "Колпашевский район" (в редакции от 26.06.2020 № 651, от 06.11.2020 № 1204, от 02.12.2020 № 1312)</t>
  </si>
  <si>
    <t>п.8 ст.2</t>
  </si>
  <si>
    <t>Постановление Администрации Колпашевского района от 04.12.2020 № 1316 "Об установлении расходного обязательства по осуществлению отдельных государственных полномочий по расчёту и предоставлению бюджетам поселений, входящих в состав муниципального района Томской области, субвенций на осуществление полномочий по первичному воинскому учёту на территориях, где отсутствуют военные комиссариаты"</t>
  </si>
  <si>
    <t>Решение Думы Колпашевского района от 10.12.2020 № 34 "Об установлении целей, порядка и условий предоставления из бюджета муниципального образования "Колпашевский район" бюджетам поселений Колпашевского района субвенций на осуществление полномочий по первичному воинскому учету на территориях, где отсутствуют военные комиссариаты"</t>
  </si>
  <si>
    <t>Решение думы Колпашевского районат от 31.01.2020 № 3 "О порядке предоставления и распределения иных межбюджетных трансфертов из бюджета муниципального образования "Колпашевский район" бюджетам поселений Колпашевского района на компенсацию расходов по организации электроснабжения от дизельных электростанций" (в редакции от 10.12.2020 № 35)</t>
  </si>
  <si>
    <t>Решение Думы Колпашевского района от 29.04.2020 № 47 "О предоставлении иных межбюджетных трансфертов бюджету муниципального образования "Колпашевское городское поселение" на выполнение мероприятий по благоустройству населённых пунктов Колпашевского городского поселения" (в редакции от 22.06.2020 № 69, от 29.07.2020 № 88, от 10.12.2020 № 37)</t>
  </si>
  <si>
    <t>Решение Думы Колпашевского района от 31.01.2020 № 14 "О предоставлении иных межбюджетных трансфертов бюджету муниципального образования "Колпашевское городское поселение" на строительство объекта: "Газораспределительные сети г.Колпашево и с.Тогур Колпашевского района Томской области, 7 очередь" (в редакции от 10.12.2020 № 38)</t>
  </si>
  <si>
    <t>Решение Думы Колпашевского района от 10.12.2020 № 39 "О предоставлении иного межбюджетного трансферта бюджету муниципального образования "Новоселовское сельское поселение" на осуществление дорожной деятельности"</t>
  </si>
  <si>
    <t>10.12.2020- 25.12.2020</t>
  </si>
  <si>
    <t>Решение Думы Колпашевского района от 10.12.2020 № 40 "О предоставлении иного межбюджетного трансферта бюджету муниципального образования "Чажемтовское сельское поселение" на приобретение и доставку дизельной электрической установки"</t>
  </si>
  <si>
    <t>Решение Думы Колпашевского района от 26.08.2020 № 101 "О предоставлении иного межбюджетного трансферта бюджету муниципального образования "Саровское сельское поселение" на ремонт коммунальных объектов" (в редакции от 23.11.2020 № 30, от 10.12.2020 № 41)</t>
  </si>
  <si>
    <t>Постановление Главы Колпашевского района от 16.12.2020 № 152 "О порядке и сроках расходования бюджетных ассигнований резервного фонда финансирования непредвиденных расходов Администрации Томской области" (распоряжение АТО от 01.12.2020 № 365-р-в) (в редакции от 18.12.2020 № 153)</t>
  </si>
  <si>
    <t>16.12.2020- 31.12.2020</t>
  </si>
  <si>
    <t>Постановление Администрации Колпашевского района от 08.06.2020 № 587 "О порядке расходования средств субсидии из областного бюджета бюджету муниципального образования «Колпашевский район» на приведение муниципальных полигонов твердых коммунальных отходов в соответствие с действующим законодательством в рамках государственной программы «Обращение с отходами, в том числе с твердыми коммунальными отходами, на территории Томской области» (ОТРАТИЛО СИЛУ постановление от 28.12.2020 № 1417)</t>
  </si>
  <si>
    <t>Закон Томской области от 15.09.2020 № 114-ОЗ "О наделении органов местного самоуправления муниципальных районов Томской области отдельными государственными полномочиями по расчету и предоставлению бюджетам поселений субвенций на осуществление полномочий по первичному воинскому учету на территориях, где отсутствуют военные комиссариаты"</t>
  </si>
  <si>
    <t>Решение Думы Колпашевского района от 10.12.2008 № 580 "Об утверждении Положения об оплате труда и ежегодных основных оплачиваемых отпусках работников органов местного самоуправления Колпашевского района и работников органов Администрации Колпашевского района" (в редакции от 17.06.2010 № 853, от 14.02.2011 № 18, от 20.06.2011 № 61, от 06.07.2011 № 77, от 30.09.2011 № 112, от 23.04.2012 № 47, от 24.05.2012 № 87, от 10.09.2012 № 124, от 19.11.2012 № 144, от 27.03.2013 № 28, от 16.07.2013 № 63, от 30.01.2014 № 13, от 15.12.2014 № 164, от 25.03.2015 № 23, от 24.08.2016 № 71, от 16.02.2016 № 6, от 30.05.2017 № 45, от 29.09.2017 № 87, от 25.01.2018 № 1, от 24.04.2019 № 40, от 25.11.2019 № 122, от 23.11.2020 № 18, от 10.12.2020 № 36)</t>
  </si>
  <si>
    <t>Федеральный закон от 13.07.2015 г. N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t>
  </si>
  <si>
    <t>п. 1 ст. 15</t>
  </si>
  <si>
    <t>13.07.2020, не установлен</t>
  </si>
  <si>
    <t>13.07.2015, не установлен</t>
  </si>
  <si>
    <t>2023 год</t>
  </si>
  <si>
    <t>очередной 2022 год</t>
  </si>
  <si>
    <t>текущий 2021 год</t>
  </si>
  <si>
    <t>2021</t>
  </si>
  <si>
    <t>2022</t>
  </si>
  <si>
    <t>2023</t>
  </si>
  <si>
    <t>1.1.1.18.4. стипендии Губернатора Томской области молодым учителям МОУ Томской области</t>
  </si>
  <si>
    <t>1.1.1.18.5. Субсидия из бюджета Томской области бюджету муниципального образования "Колпашевский район" на обновление материально-технической базы для формирования у обучающихся современных технологических и гуманитарных навыков</t>
  </si>
  <si>
    <t>1.1.1.18.6. Субсидия на внедрение и функционирование целевой модели цифровой образовательной среды в общеобразовательных организациях</t>
  </si>
  <si>
    <t>1.1.1.18.8. Субсидия местным бюджетам на приобретение учебно-методических комплектов в 2020 году для поэтапного введения федеральных государственных образовательных стандартов</t>
  </si>
  <si>
    <t>1.1.1.18.9.Иной межбюджетный трансферт, имеющий целевое назначение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</si>
  <si>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1.1.1.18.10. Субсидия 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федерального бюджета)</t>
  </si>
  <si>
    <t>1.1.1.18.11. Субсидия на создание новых мест в образовательных организациях различных типов для реализации дополнительных общеразвивающих программ всех направленностей (софинансирование за счет средств областного бюджета к средствам федерального бюджета)</t>
  </si>
  <si>
    <t>1.1.1.18.12. 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t>
  </si>
  <si>
    <t>1.1.1.18.13. Субсидия на реализацию в муниципальных образовательных организациях мероприятий, направленных на предупреждение распространения новой коронавирусной инфекции на территории Томской области</t>
  </si>
  <si>
    <t>1.1.1.18.14. МП "Обеспечение безопасности  населения Колпашевского района"</t>
  </si>
  <si>
    <t>1.1.1.18.15. МП "Развитие муниципальной системы образования в Колпашевском районе"</t>
  </si>
  <si>
    <t xml:space="preserve">1.1.1.18.16. расходы за счет резервных фондов Администрации Томской области </t>
  </si>
  <si>
    <t>1.1.1.19.4. Субсидия из бюджета Томской области бюджету муниципального образования "Колпашевский район" на обновление материально-технической базы для формирования у обучающихся современных технологических и гуманитарных навыков</t>
  </si>
  <si>
    <t>1.1.1.19.6. Иной межбюджетный трансферт, имеющий целевое назначение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</si>
  <si>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1.1.1.19.7. МП "Обеспечение безопасности  населения Колпашевского района"</t>
  </si>
  <si>
    <t>1.1.1.19.8. МП "Развитие муниципальной системы образования в Колпашевском районе"</t>
  </si>
  <si>
    <t>1.1.1.19.9. Субсидия на внедрение и функционирование целевой модели цифровой образовательной среды в общеобразовательных организациях</t>
  </si>
  <si>
    <t>1.1.1.19.10. Субсидия местным бюджетам на приобретение учебно-методических комплектов в 2020 году для поэтапного введения федеральных государственных образовательных стандартов</t>
  </si>
  <si>
    <t>1.1.1.19.11. Субсидия 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федерального бюджета)</t>
  </si>
  <si>
    <t>1.1.1.19.12. Субсидия на создание новых мест в образовательных организациях различных типов для реализации дополнительных общеразвивающих программ всех направленностей (софинансирование за счет средств областного бюджета к средствам федерального бюджета)</t>
  </si>
  <si>
    <t>1.1.1.19.13. Субсидия на обеспечение антитеррористической защиты объектов образования, выполнение мероприятий противодействия деструктивным идеологиям, модернизация систем противопожарной защиты</t>
  </si>
  <si>
    <t>1.1.1.19.14. 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t>
  </si>
  <si>
    <t>1.1.1.19.15. Субсидия на реализацию в муниципальных образовательных организациях мероприятий, направленных на предупреждение распространения новой коронавирусной инфекции на территории Томской области</t>
  </si>
  <si>
    <t xml:space="preserve">1.1.1.19.16. расходы за счет резервных фондов Администрации Томской области </t>
  </si>
  <si>
    <t>1.1.1.20.6. Субсидия 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федерального бюджета)</t>
  </si>
  <si>
    <t>1.1.1.20.7. Субсидия на создание новых мест в образовательных организациях различных типов для реализации дополнительных общеразвивающих программ всех направленностей (софинансирование за счет средств областного бюджета к средствам федерального бюджета)</t>
  </si>
  <si>
    <t>1.1.1.20.8. Субсидия на реализацию в муниципальных образовательных организациях мероприятий, направленных на предупреждение распространения новой коронавирусной инфекции на территории Томской области</t>
  </si>
  <si>
    <t xml:space="preserve">1.1.1.20.9. расходы за счет резервных фондов Администрации Томской области </t>
  </si>
  <si>
    <t>1.6.4.2.1.1. Иной межбюджетный трансферт на проведение кадастровых работ в новом микрорайоне комплексной застройки "Юбилейный" в с. Чажемто</t>
  </si>
  <si>
    <t>1.6.4.2.1.2. Иной межбюджетный трансферт на проведение ремонтных работ в помещении, расположенном по адресу: п.Куржино, ул. Лесная, д. 2, помещение 1</t>
  </si>
  <si>
    <t xml:space="preserve">1.6.2.2.1.1. Иные межбюджетные трансферты на выполнение проектных работ по реконструкции тепловых сетей в 2020 году </t>
  </si>
  <si>
    <t>1.6.2.2.1.2. Иные межбюджетные трансферты на проектирование зон санитарной охраны источника водоснабжения</t>
  </si>
  <si>
    <t>1.6.2.2.1.3. Иные межбюджетные трансферты на строительство объекта: "Газораспределительные сети г.Колпашево и с.Тогур Колпашевского района Томской области, 7 очередь"</t>
  </si>
  <si>
    <t>1.6.2.2.1.4. Иные межбюджетные трансферты на проектирование объекта: "Газораспределительные сети г.Колпашево и с.Тогур Колпашевского района Томской области, VIII очередь. 1 этап"</t>
  </si>
  <si>
    <t>1.6.2.2.1.5. Иные межбюджетные трансферты на организацию электроснабжения от дизельных электростанций</t>
  </si>
  <si>
    <t>1.6.2.2.1.6. Иные межбюджетные трансферты на организацию теплоснабжения населения</t>
  </si>
  <si>
    <t>1.6.2.2.1.7. Иной межбюджетный трансферт на ремонт тепловых сетей</t>
  </si>
  <si>
    <t>1.6.2.2.1.8. Иной межбюджетный трансферт на организацию водоснабжения населения</t>
  </si>
  <si>
    <t>1.6.2.2.1.9. Иной межбюджетный трансферт на компенсацию убытков теплоснабжающих организаций от эксплуатации муниципальных котельных</t>
  </si>
  <si>
    <t>1.6.2.2.1.10. Иной межбюджетный трансферт на осуществление капитальных вложений в объекты муниципальной собственности в сфере газификации в рамках муниципальной программы "Развитие коммунальной инфраструктуры Колпашевского района" (Газораспределительные сети г. Колпашево и с. Тогур Колпашевского района Томской области. 8 очередь. 1 этап)</t>
  </si>
  <si>
    <t>1.6.2.2.1.11. Иной межбюджетный трансферт на проведение капитальных ремонтов объектов коммунальной инфраструктуры в целях подготовки хозяйственного комплекса Томской области к безаварийному прохождению отопительного сезона</t>
  </si>
  <si>
    <t>1.6.2.2.1.12. Иной межбюджетный трансферт на ремонт коммунальных объектов</t>
  </si>
  <si>
    <t>1.6.2.2.1.13. Иные межбюджетные трансферты на организацию водоснабжения населенных пунктов Колпашевского района</t>
  </si>
  <si>
    <t>1.6.2.2.1.14. Иной межбюджетный трансферт на ремонт сетей водоснабжения</t>
  </si>
  <si>
    <t>1.6.2.2.1.15. Иные межбюджетные трансферты на компенсацию сверхнормативных расходов и выпадающих доходов ресурсоснабжающих организаций</t>
  </si>
  <si>
    <t>1.6.2.2.1.16. Иной межбюджетный трансферт на приобретение и доставку дизельной электрической установки</t>
  </si>
  <si>
    <t>1.6.4.2.2.2.3. Субсидия на проведение капитальных ремонтов объектов коммунальной инфраструктуры в целях подготовки хозяйственного комплекса Томской области к безаварийному прохождению отопительного сезона</t>
  </si>
  <si>
    <t>1.6.4.2.4.1. ИМБТ на осуществление дорожной деятельности в отношении автомобильных дорог общего пользования местного значения в границах населенных пунктов муниципального образования "Колпашевское городское поселение"</t>
  </si>
  <si>
    <t>1.6.4.2.4.2. Субсидия из областного бюджета на выполнение полномочий органов местного самоуправления по осуществлению дорожной деятельности в части капитального ремонта и (или) ремонта автомобильных дорог общего пользования местного значения в границах муниципального образования (в том числе на обустройство пешеходных переходов в соответствии с национальными стандартами и ремонт пешеходных дорожек) в рамках государственной программы "Развитие транспортной системы в Томской области"</t>
  </si>
  <si>
    <t>1.6.4.2.4.3. Иные межбюджетные трансферты на осуществление дорожной деятельности в отношении автомобильных дорог общего пользования местного значения в части разработки проекта организации дорожного движения</t>
  </si>
  <si>
    <t>1.6.4.2.4.4. Иной межбюджетный трансферт на осуществление дорожной деятельности в отношении автомобильных дорог общего пользования местного значения в границах населенных пунктов муниципального образования "Саровское сельское поселение"</t>
  </si>
  <si>
    <t>1.6.4.2.4.5. Иной межбюджетный трансферт на осуществление дорожной деятельности в отношении автомобильных дорог общего пользования местного значения в границах населенных пунктов муниципального образования «Новоселовское сельское поселение»</t>
  </si>
  <si>
    <t>1.6.4.2.15.2. Субсидия местным бюджетам на обустройство объектами инженерной инфраструктуры и благоустройство площадок, расположенных на сельских территориях, под компактную жилищную застройку в рамках государственной программы "Комплексное развитие сельских территорий Томской области"</t>
  </si>
  <si>
    <t>1.6.4.2.21.1. Иные межбюджетные трансферты на обустройство спортивных объектов в с.Чажемто</t>
  </si>
  <si>
    <t>1.6.4.2.21.2. Иные межбюджетные трансферты на поощрение поселенческих команд, участвовавших в XIII зимней межпоселенческой спартакиаде в с. Чажемто</t>
  </si>
  <si>
    <t>1.6.4.2.21.3. МБТ из резервного фонда финансирования непредвиденных расходов Администрации Томской области (в соответствии с распоряжением АТО от 20.03.2020 № 65-р-в)</t>
  </si>
  <si>
    <t>1.6.4.2.21.5. Иной межбюджетный трансферт на обустройство и организацию деятельности катка на стадионе по адресу г. Колпашево, ул. Кирова, 41</t>
  </si>
  <si>
    <t>1.6.4.2.24.1. Иные межбюджетные трансферты на ликвидацию мест несанкционированного размещения твердых коммунальных отходов</t>
  </si>
  <si>
    <t>1.6.4.2.24.2. Субсидия на создание мест (площадок) накопления твердых коммунальных отходов в рамках государственной программы "Обращение с отходами, в том числе с твердыми коммунальными отходами, на территории Томской области"</t>
  </si>
  <si>
    <t>1.6.4.2.24.3. Иные межбюджетные трансферты на создание мест (площадок) накопления твердых коммунальных отходов</t>
  </si>
  <si>
    <t>1.6.4.2.26.1.1. Иные межбюджетные трансферты на благоустройство территории по ул. Кирова, 43 (устройство городской детской - спортивной площадки)</t>
  </si>
  <si>
    <t>1.6.4.2.26.1.2. Иные межбюджетные трансферты на обеспечение комплексного развития сельских территорий (реализация проектов по благоустройству сельских территорий)</t>
  </si>
  <si>
    <t>1.6.4.2.26.1.3. Иные межбюджетные трансферты на реализацию программ формирования современной городской среды</t>
  </si>
  <si>
    <t>1.6.4.2.26.1.4. Иные межбюджетные трансферты на выпонение работ по строительному контролю и авторскому надзору по объектам благоустройства мест массового отдыха населения, общественных территорий Колпашевского городского поселения</t>
  </si>
  <si>
    <t>1.6.4.2.26.1.5. Иные межбюджетные трансферты на выполнение мероприятий по благоустройству населённых пунктов Колпашевского городского поселения</t>
  </si>
  <si>
    <t>1.6.4.2.26.1.6. Иной межбюджетный трансферт на организацию электроснабжения</t>
  </si>
  <si>
    <t>1.6.4.2.26.1.7. Иной межбюджетный трансферт на выполнение мероприятий по благоустройству населённых пунктов</t>
  </si>
  <si>
    <t>1.6.4.2.26.1.8. Иной межбюджетный трансферт на выполнение мероприятий по благоустройству спортивной площадки по адресу: г.Колпашево, ул.Кирова, 48/4</t>
  </si>
  <si>
    <t>1.6.4.2.26.1.9. Иной межбюджетный трансфертна благоустройство дворовых территорий</t>
  </si>
  <si>
    <t>1.6.4.2.26.1.10. Иной межбюджетный трансферт на организацию уличного освещения</t>
  </si>
  <si>
    <t>1.6.4.2.26.1.11. Иной межбюджетный трансферт на благоустройство населённых пунктов Новогоренского сельского поселения</t>
  </si>
  <si>
    <t>1.6.4.2.26.12. Иной межбюджетный трансферт на организацию уличного освещения населенных пунктов Новоселовского сельского поселения</t>
  </si>
  <si>
    <t>1.6.4.2.26.2.5. МБТ из резервного фонда финансирования непредвиденных расходов Администрации Томской области (в соответствии с распоряжением АТО от 20.02.2020 № 32-р-в)</t>
  </si>
  <si>
    <t>1.6.4.2.26.2.6. Субсидия на софинансирование расходных обязательств по решению вопросов местного значения, возникающих в связи с реализацией проекта "Обустройство спортивно-игровой площадки по ул. Советская, уч. 29 в п. Большая Саровка" в Саровском сельском поселении, входящем в состав Колпашевского района Томской области</t>
  </si>
  <si>
    <t>1.6.4.2.26.2.7. Субсидия на софинансирование расходных обязательств по решению вопросов местного значения, возникающих в связи с реализацией проекта "Обустройство уличного освещения в г. Колпашево по ул. Портовая" в Колпашевском городском поселении, входящем в состав Колпашевского района Томской области</t>
  </si>
  <si>
    <t>1.6.4.2.26.2.8. Субсидия на софинансирование расходных обязательств по решению вопросов местного значения, возникающих в связи с реализацией проекта "Обустройство металлической изгороди и планировки сквера "Зеленый берег" по адресу: Томская область, Колпашевский район, с. Новоселово, ул. Центральная, 27/1" в Новоселовском сельском поселении, входящем в состав Колпашевского района Томской области</t>
  </si>
  <si>
    <t>01.01.2021- 22.12.2021</t>
  </si>
  <si>
    <t>1.1.1.32.4. межбюджетные трансферты из резервного фонда финансирования непредвиденных расходов Администрации Томской области</t>
  </si>
  <si>
    <t>1.1.1.18.14. Субсидия на обеспечение антитеррористической защиты объектов образования, выполнение мероприятий противодействия деструктивным идеологиям, модернизация систем противопожарной защиты</t>
  </si>
  <si>
    <t>1.1.1.18.15. Субсидия на приобретение автотранспортных средств в муниципальные общеобразовательные организации</t>
  </si>
  <si>
    <t>(209 577)</t>
  </si>
  <si>
    <t>1.1.1.18.16. Субсидия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в рамках регионального проекта "Успех каждого ребенка"</t>
  </si>
  <si>
    <t>(209 616)</t>
  </si>
  <si>
    <t>1.1.1.19.16. Субсидия на приобретение автотранспортных средств в муниципальные общеобразовательные организации</t>
  </si>
  <si>
    <t>1.1.1.19.17. Субсидия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в рамках регионального проекта "Успех каждого ребенка"</t>
  </si>
  <si>
    <t>(222 561)</t>
  </si>
  <si>
    <t>(222 573)</t>
  </si>
  <si>
    <t>(208 615)</t>
  </si>
  <si>
    <t>(208 660)</t>
  </si>
  <si>
    <t>1085 (528, 548, 546, 547)</t>
  </si>
  <si>
    <t>(227 604)</t>
  </si>
  <si>
    <t>(227 600)</t>
  </si>
  <si>
    <t>п. 2</t>
  </si>
  <si>
    <t>1712 (311 663)</t>
  </si>
  <si>
    <t>1.6.2.2.1.17. Иные межбюджетные трансферты на проектирование зон санитарной охраны источника водоснабжения</t>
  </si>
  <si>
    <t>1.6.2.2.1.18. Иной межбюджетный трансферт на проведение государственной экспертизы проектной документации и результатов инженерных изысканий, включая проведение проверки достоверности определения сметной стоимости</t>
  </si>
  <si>
    <t>1.6.4.2.21.6. Иной межбюджетный трансферт на организацию деятельности катка по адресу г. Колпашево, ул. Кирова, 41</t>
  </si>
  <si>
    <t>1.6.4.2.26.13. Иные межбюджетные трансферты на реализацию мероприятия "Повышение уровня благоустройства муниципальных территорий общего пользования" муниципальной программы "Формирование современной городской среды Колпашевского городского поселения на 2018 2024 гг.</t>
  </si>
  <si>
    <t>(100 301)</t>
  </si>
  <si>
    <t>1.6.4.2.24.4. Иной межбюджетный трансферт на обустройство площадок для накопления твердых коммунальных отходов</t>
  </si>
  <si>
    <t>1.6.4.2.5.1. Иной межбюджетный трансферт на ремонт муниципального жилья</t>
  </si>
  <si>
    <t>(100 303)</t>
  </si>
  <si>
    <t>1.6.4.2.5.2. субсидии местным бюджетам на создание условий для управления многоквартирными домами</t>
  </si>
  <si>
    <t>Постановление администрации Колпашевского района от 20.01.2021 № 52 "О финансировании мероприятий по укреплению общественного здоровья населения Колпашевского района"</t>
  </si>
  <si>
    <t>20.01.2021, не установлен</t>
  </si>
  <si>
    <t>21.01.2021, не установлен</t>
  </si>
  <si>
    <t>25.01.2021- 28.12.2021</t>
  </si>
  <si>
    <t>Решение Думы Колпашевского района от 25.01.2021 № 5 "О предоставлении иного межбюджетного трансферта бюджету муниципального образования "Колпашевское городское поселение" на организацию деятельности катка по адресу г. Колпашево, ул. Кирова, 41"</t>
  </si>
  <si>
    <t>25.01.2021- 29.04.2021</t>
  </si>
  <si>
    <t>Решение Думы Колпашевского района от 25.01.2021 № 10 "О предоставлении иных межбюджетных трансфертов бюджетам муниципальных образований Колпашевского района на проектирование зон санитарной охраны источников водоснабжения"</t>
  </si>
  <si>
    <t>25.01.2021- 25.12.2021</t>
  </si>
  <si>
    <t>Решение Думы Колпашевского района от 25.01.2021 № 11 "О предоставлении иного межбюджетного трансферта бюджету муниципального образования "Колпашевское городское поселение" на проведение государственной экспертизы проектной документации и результатов инженерных изысканий, включая проведение проверки достоверности определения сметной стоимости"</t>
  </si>
  <si>
    <t>Решение Думы Колпашевского района от 25.01.2021 № 12 "О предоставлении иного межбюджетного трансферта бюджету муниципального образования "Новогоренское сельское поселение" на обустройство площадок для накопления твердых коммунальных отходов"</t>
  </si>
  <si>
    <t>25.01.2021- 20.12.2021</t>
  </si>
  <si>
    <t>Решение Думы Колпашевского района от 25.01.2021 № 13 "О предоставлении иного межбюджетного трансферта бюджету муниципального образования "Чажемтовское сельское поселение" на ремонт муниципального жилья"</t>
  </si>
  <si>
    <t>Решение Думы Колпашевского района от 25.01.2021 № 14 "О предоставлении иных межбюджетных трансфертов бюджету муниципального образования "Колпашевское городское поселение" на реализацию мероприятия "Повышение уровня благоустройства муниципальных территорий общего пользования" муниципальной программы "Формирование современной городской среды Колпашевского городского поселения на 2018 - 2024 гг."</t>
  </si>
  <si>
    <t>25.01.2021- 30.12.2021</t>
  </si>
  <si>
    <t>(213 655)</t>
  </si>
  <si>
    <t>(213 656)</t>
  </si>
  <si>
    <t>Решение Думы Колпашевского района от 31.01.2020 № 16 "О порядке предоставления иных межбюджетных трансфертов из бюджета муниципального образования "Колпашевский район" бюджетам поселений Колпашевского района на исполнение судебных актов по обеспечению жилыми помещениями детей - сирот и детей, оставшихся без попечения родителей, а также лиц из их числа" (в редакции от 25.01.2021 № 15)</t>
  </si>
  <si>
    <t>Постановление Администрации Томской области от 14.08.2020 N 402а "Об утверждении Правил предоставления и Методики распределения иных межбюджетных трансфертов на исполнение судебных актов по обеспечению жилыми помещениями детей-сирот и детей, оставшихся без попечения родителей, а также лиц из их числа"</t>
  </si>
  <si>
    <t>28.08.2020, не установлен</t>
  </si>
  <si>
    <t>Решение Думы Колпашевского района от 25.01.2021 № 16 "О предоставлении субвенций бюджетам поселений Колпашевского района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</si>
  <si>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25.01.2021, не установлен</t>
  </si>
  <si>
    <t>Постановление Администрации Томской области от 04.03.2009 № 40а "Об утверждении Порядка расходования местными бюджетами субвенций из областного бюджета на осуществление государственных полномочий по обеспечению жилыми помещениями детей-сирот и детей, оставшихся без попечения родителей, а также лиц из их числа</t>
  </si>
  <si>
    <t>Постановление Администрации Колпашевского района от 26.01.2021 № 95 "Об установлении расходного обязательства муниципального образования "Колпашевский район"</t>
  </si>
  <si>
    <t>Постановление Администрации Колпашевскогго района от 16.04.2015 № 417 "О порядке распределения субвенции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в Томской области, обеспечение дополнительного образования детей в муниципальных общеобразовательных организациях в Томской области" (в редакции от 08.09.2015 № 900, от 10.02.2016 № 104, от 11.01.2017 № 3, от13.12.2017 № 1319, от 02.04.2018 № 281, 20.12.2018 № 1408, от 29.11.2019 № 1341, от 28.05.2020 № 522, от 29.12.2020 № 1427, от 29.01.2021 № 137)</t>
  </si>
  <si>
    <t>Постановление Администрации Колпашевского района от 29.01.2021 № 134 "Об установлении расходного обязательства муниципального образования "Колпашевский район" на осуществление переданных отдельных государственных полномочий по подготовке и проведению на территории Томской области Всероссийской переписи населения 2020 года"</t>
  </si>
  <si>
    <t>29.01.2021 в период действия ЗТО от 07.04.2020 № 24-ОЗ</t>
  </si>
  <si>
    <t>Закон Томской области от 07.04.2020 № 24-ОЗ "О наделении органов местного самоуправления отдельными государственными полномочиями по подготовке и проведению на территории Томской области Всероссийской переписи населения 2020 года"</t>
  </si>
  <si>
    <t>20.04.2020- 31.12.2021</t>
  </si>
  <si>
    <t>Постановление Администрации Колпашевского района от 26.01.2021 № 96 "О порядке расходования в 2021 году средств субсидии из областного бюджета бюджету муниципального образования "Колпашевский район" на создание и модернизацию объектов спортивной инфраструктуры для занятий физической культурой и спортом в рамках регионального проекта "Спорт - норма жизни" государственной программы "Развитие молодежной политики, физической культуры и спорта в Томской области" (Строительство физкультурно-оздоровительного комплекса с универсальным игровым залом для МАУДО "ДЮСШ им. О.Рахматулиной" по ул. Ленина, 52 в г. Колпашево Колпашевского района Томской области)"</t>
  </si>
  <si>
    <t>26.01.2021- 31.12.2021</t>
  </si>
  <si>
    <t>Постановление Администрации Колпашевского района от 22.01.2021 № 80 "О порядке и сроках расходования средств иного межбюджетного трансферта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 и об утверждении Порядка определения объёма и условий предоставления субсидий из средств бюджета муниципального образования "Колпашевский район" муниципальным бюджетным общеобразовательным организациям и муниципальным автономным общеобразовательным организациям на выплату ежемесячного денежного вознаграждения за классное руководство педагогическим работникам муниципальных общеобразовательных организаций"</t>
  </si>
  <si>
    <t>22.01.2021-31.12.2021</t>
  </si>
  <si>
    <t>22.01.2021- 31.12.2021</t>
  </si>
  <si>
    <t>Постановление Администрации Колпашевского района от 22.01.2021 № 79 "Об организации бесплатного горячего питания обучающихся, получающих начальное общее образование в муниципальных образовательных организациях муниципального образования "Колпашевский район", порядке и сроках расходования средств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и об утверждении Порядка определения объёма и условия предоставления субсидии из бюджета муниципального образования "Колпашевский район" муниципальным бюджетным образовательным организациям и муниципальным автономным образовательным организациям на организацию бесплатного горячего питания обучающихся, получающих начальное общее образование в муниципальных общеобразовательных организациях"</t>
  </si>
  <si>
    <t>Постановление Администрации Колпашевского района от 06.03.2020 № 231 "О порядке расходования средств субсидии из бюджета Томской области о предоставлении субсидии местному бюджету из областного бюджета на создание новых мест в образовательных организациях различных типов для реализации дополнительных общеразвивающих программ всех направленностей" УТРАТИЛО СИЛУ ПАКР от  22.01.2021 № 76</t>
  </si>
  <si>
    <t>Постановление Администрации колпашевского района от 06.03.2020 № 231 "О порядке расходования средств субсидии из бюджета Томской области о предоставлении субсидии местному бюджету из областного бюджета на создание новых мест в образовательных организациях различных типов для реализации дополнительных общеразвивающих программ всех направленностей" УТРАТИЛО СИЛУ ПАКР от 22.01.2021 № 76</t>
  </si>
  <si>
    <t>Постановление Администрации Колпашевского района  от 19.12.2013 № 1336 «О порядке расходования средств иных межбюджетных трансфертов на организацию системы выявления, сопровождения одарённых детей» (в редакции постановлений Администрации Колпашевского района от 30.07.2014 № 752, от 22.05.2015 № 510, от 05.04.2016 № 340, от 21.06.2017 № 580, от 13.04.2018 № 328, от 11.04.2019 № 358, от 28.04.2020 № 430) УТРАТИЛО СИЛУ ПАКР от 22.01.2021 № 76</t>
  </si>
  <si>
    <t>Постановление Администрации Колпашевского района от 10.12.2015 № 1257 "Об утверждении муниципальной программы "Обеспечение безопасности населения Колпашевского района" (в редакции от 11.07.2016 № 768, от 09.09.2016 № 1050, от 05.10.2016 № 1122, от 21.11.2016 № 1276, от 15.03.2017 № 216, от 31.01.2018 № 65, от 16.05.2018 № 414, от 31.01.2019 № 74, от 31.01.2020 № 84, от 03.06.2020 № 560)</t>
  </si>
  <si>
    <t>Постановление Администрации Колпашевского района от 10.12.2015 № 1257 "Об утверждении муниципальной программы "Обеспечение безопасности населения Колпашевского района" (в редакции от 11.07.2016 № 768, от 09.09.2016 № 1050, от 05.10.2016 № 1122, от 21.11.2016 № 1276, от 15.03.2017 № 216, от 31.01.2018 № 65, от 16.05.2018 № 414, от 31.01.2019 № 74, от 31.01.2020 № 84, от 03.06.2020 № 560, от 10.02.2021 № 186 )</t>
  </si>
  <si>
    <t>Постановление Администрации Колпашевского района от 16.11.2015 № 1160 "Об утверждении муниципальной программы "Развитие муниципальной системы образования Колпашевского района" (в редакции от 12.04.2016 № 371, от 15.08.2016 № 898, от 06.12.2016 № 1328, от 10.03.2017 № 196, от 29.12.2017 № 1380, от 05.09.2018 № 938, от 31.01.2019 № 71, от 17.06.2019 № 646, от 23.07.2019 № 790, от 16.12.2019 № 1435, от 27.01.2020 № 63, от 04.03.2020 № 208, от06.04.2020 № 359, от 06.07.2020 № 693, от 04.08.2020 № 780, от 22.09.2020 № 1035, от 27.01.2021 № 111)</t>
  </si>
  <si>
    <t>Постановление Администрации Колпашевского района от 10.12.2015 № 1257 "Об утверждении муниципальной программы "Обеспечение безопасности населения Колпашевского района" (в редакции от 11.07.2016 № 768, от 09.09.2016 № 1050, от 05.10.2016 № 1122, от 21.11.2016 № 1276, от 15.03.2017 № 216, от 31.01.2018 № 65, от 16.05.2018 № 414, от 31.01.2019 № 74, от 31.01.2020 № 84, от 03.06.2020 № 560, от 10.02.2021 № 186)</t>
  </si>
  <si>
    <t>Постановление Администрации Колпашевского района от 16.11.2015 № 1160 "Об утверждении муниципальной программы "Развитие муниципальной системы образования Колпашевского района" (в редакции от 12.04.2016 № 371, от 15.08.2016 № 898, от 06.12.2016 № 1328, от 10.03.2017 № 196, от 29.12.2017 № 1380, от 05.09.2018 № 38,от 30.01.2019 № 71, от 17.06.2019 № 646, от 23.07.2019 № 790, от 16.12.2019 № 1435, от 27.01.2020 № 63, от 04.03.2020 № 208, от 06.04.2020 № 359, от 06.07.2020 № 693, от 04.08.2020 № 780, от 22.09.2020 № 1035, от 27.01.2021 № 111)</t>
  </si>
  <si>
    <t>Постановление Администрации Колпашевского района от 16.11.2015 № 1160 "Об утверждении муниципальной программы "Развитие муниципальной системы образования Колпашевского района" (в редакции от 12.04.2016 № 371, от 15.08.2016 № 898, от 06.12.2016 № 1328, от 10.03.2017 № 196, от 29.12.2017 № 1380, от 05.09.2018 № 38, от 30.01.2019 № 71, от 17.06.2019 № 646, от 23.07.2019 № 790, от 16.12.2019 № 1435, 27.01.2020 № 63, от 04.03.2020 № 208, от 06.04.2020 № 359, от 06.07.2020 № 693, от 04.08.2020 № 780, от 22.09.2020 № 1035, от 27.01.2021 № 111)</t>
  </si>
  <si>
    <t>Решение Думы Колпашевского района от 15.12.2014 № 136 "О финансировании за счёт средств бюджета муниципального образования "Колпашевский район" мероприятий по содержанию комплекса спортивных сооружений муниципального автономного образовательного учреждения дополнительного образования детей "Детско-юношеская спортивная школа имени О. Рахматулиной"</t>
  </si>
  <si>
    <t>Постановление Администрации Колпашевского района от 31.03.2016 № 334 "Об утверждении муниципальной программы "Развитие молодежной политики, физической культуры и массового спорта на территории муниципального образования "Колпашевский район" (в редакции от 27.04.2016 № 420, от 21.06.2016 № 686, от 09.09.2016 № 1051, от 24.11.2016 № 1286, от 21.12.2016 № 1381, от 29.12.2016 № 1439, от 03.03.2017 № 158, от 15.03.2017 № 214, от 13.06.2017 № 529, от 29.12.2017 № 1382, от 17.08.2018 № 861, от15.01.2019 № 116, от 17.05.219 № 488, от 16.08.2019 № 934, от 08.11.2019 № 1233, от 27.01.2020 № 62, от 31.03.2020 № 345, от 01.02.2021 № 141)</t>
  </si>
  <si>
    <t>Подпр2 Прил. № 1</t>
  </si>
  <si>
    <t>ПостановлениеАдминистрации Колпашевского района от 16.08.2013 № 834 "Об утверждении муниципальной программы "Устойчивое развитие сельских территорий муниципального образования Колпашевский район Томской области на 2014-2017 годы и на период до 2020 года" (в редакции от 02.06.2014 № 506, от 18.08.2014 № 807, от 29.12.2014 № 1631, от 17.06.2015, от 24.09.2015 № 976, от 18.12.2015 № 1326, от 06.09.2016 № 1025, от 29.09.2016 № 1098, от 27.12.2016 № 1424, от 02.06.2017 № 504, от 27.12.2017 № 1366, от 14.01.2019 № 11, от 25.06.2019 № 671, от 31.01.2020 № 89, от 26.06.2020 № 650, от 11.01.21 № 2)</t>
  </si>
  <si>
    <t>Постановление Администрации Колпашевского района от 19.06.2018 № 543 «О порядке предоставления субсидии на обеспечение деятельности бизнес-инкубатора Колпашевского района производственного и офисного назначения» (в редакции от 17.12.2018 № 1358, от 07.02.2020 № 116,от 26.05.2020 № 519, от 15.06.2020 № 615)</t>
  </si>
  <si>
    <t>Постановление Администрации Колпашевского района от 10.10.2018 № 1081 "Об утверждении муниципальной программы "Развитие предпринимательства в Колпашевском районе" (в редакции от 13.12.2018 № 1349, от 17.01.2020 № 15, от 10.07.2020 № 716, от 11.09.2020 № 1003, от 22.01.2021 № 77)</t>
  </si>
  <si>
    <t>Постановление Администрации Томской области от 27.09.2019 N 347а "Об утверждении государственной программы "Развитие культуры и туризма в Томской области"</t>
  </si>
  <si>
    <t>Подпр.2</t>
  </si>
  <si>
    <t>Решение Думы Колпашевского района от 12.10.2020 № 12 "О предоставлении иных межбюджетных трансфертов из бюджета муниципального образования "Колпашевский район" бюджетам поселений, входящих в состав муниципального образования "Колпашевский район", на компенсацию сверхнормативных расходов и выпадающих доходов ресурсоснабжающих организаций" (в редакции от 23.11.2020 № 23, от 25.01.2021 № 9)</t>
  </si>
  <si>
    <t>Решение Думы Колпашевского района от 12.10.2020 № 12 "О предоставлении иных межбюджетных трансфертов из бюджета муниципального образования "Колпашевский район" бюджетам поселений, входящих в состав муниципального образования "Колпашевский район", на компенсацию сверхнормативных расходов и выпадающих доходов ресурсоснабжающих организаций" (в редакции от 23.11.2020 № 22, от 25.01.2021 № 9)</t>
  </si>
  <si>
    <t>Решение Думы Колпашевского района от 26.02.2020 № 30 "О порядке предоставления иных межбюджетных трансферов бюджетам поселений, входящих в состав муниципального образования "Колпашевский район", на капитальный ремонт и (или) ремонт автомобильных дорог общего пользования местного значения"</t>
  </si>
  <si>
    <t>02.03.2020, не установлен</t>
  </si>
  <si>
    <t>Решение Думы Колпашевского района от 27.05.2020 № 56 "О предоставлении иного межбюджетного трансферта бюджету муниципального образования "Новоселовское сельское поселение" на организацию электроснабжения"</t>
  </si>
  <si>
    <t>Постановление Администрации Колпашевского района от 21.03.2016 № 278 "Об утверждении муниципальной программы "Развитие культуры и туризма в Колпашевском районе" (в редакции от 04.04.2016 № 336, от 01.06.2016 № 610, от 04.10.2016 № 1112, от 15.11.2016 № 1253, от 14.12.2016 № 1361, от 30.12.2016 № 1448, от 10.03.2017 № 192, от 29.12.2017 № 1381, от 18.05.2018 № 431, от 04.02.2019 № 99, от 26.07.2019 № 811, от 19.12.2019 № 1452, от 21.02.2020 № 173, от 27.08.2020 № 918, от 20.11.2020 № 1281, от 28.01.2021 № 128)</t>
  </si>
  <si>
    <t>21.03.2016- 31.12.2023</t>
  </si>
  <si>
    <t>Постановление Администрации Колпашевского района от 22.05.2020 № 504 "О распределении средств иных межбюджетных трансфертов на поощрение поселенческих команд, участвовавших в XIII зимней межпоселенческой спартакиаде в с. Чажемто, из бюджета муниципального образования "Колпашевский район" в 2020 году"</t>
  </si>
  <si>
    <t>(209 513) (803)</t>
  </si>
  <si>
    <t>(213 657)</t>
  </si>
  <si>
    <t>(213 658)</t>
  </si>
  <si>
    <t>1055</t>
  </si>
  <si>
    <t>1.1.1.53. организация в соответствии с Федеральным законом от 24 июля             2007 г. № 221-ФЗ «О государственном кадастре недвижимости» выполнения комплексных кадастровых работ и утверждение карты-плана территории</t>
  </si>
  <si>
    <t>(100 315)</t>
  </si>
  <si>
    <t>1.6.2.2.1.19. Иной межбюджетный трансферт на осуществление капитальных вложений в объекты муниципальной собственности в сфере газификации Томской области в рамках государственной программы «Развитие коммунальной инфраструктуры в Томской области»</t>
  </si>
  <si>
    <t>1.6.2.2.1.20. Иной межбюджетный трансферт на проведение капитальных ремонтов объектов коммунальной инфраструктуры в целях подготовки хозяйственного комплекса Томской области к безаварийному прохождению отопительного сезона</t>
  </si>
  <si>
    <t>1.6.4.2.2.2.2. Субсидия на осуществление капитальных вложений в объекты муниципальной собственности в сфере газификации в рамках государственной программы "Развитие коммунальной инфраструктуры в Томской области"</t>
  </si>
  <si>
    <t>(100 308)</t>
  </si>
  <si>
    <t>1.6.4.2.26.14. Иной межбюджетный трансферт на обеспечение комплексного развития сельских территорий (реализация проектов по благоустройству сельских территорий)</t>
  </si>
  <si>
    <t>1.6.4.2.26.15. Иной межбюджетный трансферт на выполнение работ по строительному контролю и авторскому надзору по объектам благоустройства наиболее посещаемых муниципальных территорий Колпашевского городского поселения</t>
  </si>
  <si>
    <t>1.6.4.2.26.16. Иной межбюджетный трансферт на разработку дизайн-проекта и проектно -сметной документации по объектам благоустройства наиболее посещаемых муниципальных территорий общественного пользования</t>
  </si>
  <si>
    <t>1.6.4.2.26.17. Иной межбюджетный трансферт на благоустройство населенных пунктов Колпашевского городского поселения</t>
  </si>
  <si>
    <t>1.6.4.2.26.2.3. Субсидия на реализацию проектов по благоустройству сельских территорий (за счет средств федерального бюджета)</t>
  </si>
  <si>
    <t>1.6.4.2.26.2.4. Субсидия на реализацию проектов по благоустройству сельских территорий (софинансирование за счет средств областного бюджета к средствам федерального бюджета)</t>
  </si>
  <si>
    <t>Постановление Администрации Колпашевского района от 02.02.2021 № 143 "Об установлении расходного обязательства муниципального образования "Колпашевский район"</t>
  </si>
  <si>
    <t>Прил.1.</t>
  </si>
  <si>
    <t>Постановление Администрации Колпашевского района от 04.02.2021 № 167 "О порядке расходования средств субсидии из бюджета субъекта Российской Федерации местному бюджету на предоставление социальных выплат молодым семьям на приобретение (строительство) жилья"</t>
  </si>
  <si>
    <t>04.02.2021- 31.12.2021</t>
  </si>
  <si>
    <t>Решение Думы Колпашевского района от 26.02.2021 № 18 "О предоставлении бюджету муниципального образования "Новоселовское сельское поселение" иного межбюджетного трансферта на обеспечение комплексного развития сельских территорий (реализация проектов по благоустройству сельских территорий)"</t>
  </si>
  <si>
    <t>26.02.2021- 31.12.2021</t>
  </si>
  <si>
    <t>Решение Думы Колпашевского района от 26.02.2021 № 19 "О предоставлении иного межбюджетного трансферта бюджету муниципального образования "Колпашевское городское поселение" на осуществление капитальных вложений в объекты муниципальной собственности в сфере газификации Томской области в рамках государственной программы "Развитие коммунальной инфраструктуры в Томской области"</t>
  </si>
  <si>
    <t>Решение Думы Колпашевского района от 26.02.2021 № 20 "О предоставлении иного межбюджетного трансферта бюджету муниципального образования "Колпашевское городское поселение" на проведение капитальных ремонтов объектов коммунальной инфраструктуры в целях подготовки хозяйственного комплекса Томской области к безаварийному прохождению отопительного сезона"</t>
  </si>
  <si>
    <t>26.02.2021- 30.12.2021</t>
  </si>
  <si>
    <t>02.02.2021- 30.12.2021</t>
  </si>
  <si>
    <t>Решение Думы Колпашевского района от 26.02.2021 № 21 "О предоставлении иных межбюджетных трансфертов бюджету муниципального образования "Колпашевское городское поселение" на выполнение работ по строительному контролю и авторскому надзору по объектам благоустройства наиболее посещаемых муниципальных территорий Колпашевского городского поселения"</t>
  </si>
  <si>
    <t>Решение Думы Колпашевского района от 26.02.2021 № 22 "О предоставлении иного межбюджетного трансферта бюджету муниципального образования "Колпашевское городское поселение" на выполнение работ по разработке дизайн-проекта и проектно-сметной документации по объектам благоустройства наиболее посещаемых муниципальных территорий общественного пользования"</t>
  </si>
  <si>
    <t>Решение Думы Колпашевского района от 26.02.2021 № 23 "О предоставлении иного межбюджетного трансферта бюджету муниципального образования "Колпашевское городское поселение" на благоустройство населенных пунктов"</t>
  </si>
  <si>
    <t>Решение Думы Колпашевского района от 26.02.2021 № 24 "О предоставлении в 2021 году иного межбюджетного трансферта бюджету муниципального образования "Новоселовское сельское поселение" на проведение кадастровых работ по оформлению земельных участков в собственность муниципальных образований"</t>
  </si>
  <si>
    <t>Решение Думы Колпашевского района от 26.02.2021 № 25 "О предоставлении иных межбюджетных трансфертов бюджетам муниципальных образований Колпашевского района на приобретение плугов для опашки территории вокруг населенных пунктов"</t>
  </si>
  <si>
    <t>Решение Думы Колпашевского района от 26.02.2021 № 26 "О предоставлении в 2021 году иного межбюджетного трансферта бюджету муниципального образования "Чажемтовское сельское поселение" на развитие инженерной инфраструктуры на сельских территориях, обустройство объектами инженерной инфраструктуры и благоустройство площадок, расположенных на сельских территориях, под компактную жилищную застройку (Строительство инженерных сетей и зданий соцкультбыта в новом микрорайоне комплексной застройки "Юбилейный" в с. Чажемто Колпашевского района Томской области. Линейные объекты)"</t>
  </si>
  <si>
    <t>Постановление Администрации Колашевского района от 05.03.2021 № 293 "О порядке расходования средств субсидии на оплату труда руководителям и специалистам муниципальных учреждений культуры и искусства в части выплат надбавок и доплат к тарифной ставке (должностному окладу) из областного бюджета"</t>
  </si>
  <si>
    <t>05.03.2021- 30.12.2021</t>
  </si>
  <si>
    <t>1.1.1.69.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 на территории сельского поселения</t>
  </si>
  <si>
    <t>1071</t>
  </si>
  <si>
    <t>1.6.2.2.1.21. Иной межбюджетный трансферт на ремонт водопровода</t>
  </si>
  <si>
    <t>(100 319)</t>
  </si>
  <si>
    <t>(100 317)</t>
  </si>
  <si>
    <t>1.6.4.2.26.18.  Иной межбюджетный трансферт на организацию уличного освещения</t>
  </si>
  <si>
    <t>1.6.4.2.24.5. Иные межбюджетные трансферты на обустройство мест (площадок) накопления твердых коммунальных отходов</t>
  </si>
  <si>
    <t>1.6.4.2.5.2. исполнение судебных актов</t>
  </si>
  <si>
    <t>Постановление Администрации Колпашевского района от 29.01.2013 № 51 "О порядке расходования средств межбюджетных трансфертов на выплату стипендии Губернатора Томской области молодым учителям" (в редакции от 24.01.2014 № 58, от 14.10.2016 № 1137, от 15.02.2021 № 206, от 10.03.2021 № 299)</t>
  </si>
  <si>
    <t>Постановление Администрации Колпашевского района от 24.07.2019 № 801 "О частичной оплате стоимости питания отдельных категорий обучающихся в муниципальных общеобразовательных организациях Колпашевского района, за исключением обучающихся с ограниченными возможностями здоровья" (в редакции от 12.08.2019 № 898, от 27.12.2019 № 1495, от 06.04.2020 № 358, от  29.09.2020 № 1057, от 28.01.2021 № 126, от 30.03.2021 № 380, от 09.04.2021 № 443)</t>
  </si>
  <si>
    <t>Постановление Администрации Колпашевского района от 24.07.2019 № 801 "О частичной оплате стоимости питания отдельных категорий обучающихся в муниципальных общеобразовательных организациях Колпашевского района, за исключением обучающихся с ограниченными возможностями здоровья" (в редакции от 12.08.2019 № 898, от 27.12.2019 № 1495, от 06.04.2020 № 358, от 29.09.2020 № 1057, от 28.01.2021 № 126, от 30.03.2021 № 380, от 09.04.2021 № 443)</t>
  </si>
  <si>
    <t>1.1.1.18.6. Субсидия на обеспечение образовательных организаций материально-технической базой для внедрения цифровой образовательной среды</t>
  </si>
  <si>
    <t>Постановление Администрации Колпашевского района от 19.03.2021 № 333 "О порядке и сроках расходования средств субсидии на обеспечение образовательных организаций материально-технической базой для внедрения цифровой образовательной среды"</t>
  </si>
  <si>
    <t>19.03.2021- 31.12.2021</t>
  </si>
  <si>
    <t>1.1.1.19.5. Субсидия на обеспечение образовательных организаций материально-технической базой для внедрения цифровой образовательной среды</t>
  </si>
  <si>
    <t>Постановление Администрации Колпашевского райорна от 05.04.2021 № 404 "О порядке и сроках расходования средств субсидии на создание новых мест в образовательных организациях различных типов для реализации дополнительных общеобразовательных программ всех направленностей и об утверждении Порядка определения объёма и условия предоставления субсидии из бюджета муниципального образования "Колпашевский район" муниципальным бюджетным образовательным организациям и муниципальным автономным образовательным организациям на создание новых мест в образовательных организациях различных типов для реализации дополнительных общеобразовательных программ всех направленностей"</t>
  </si>
  <si>
    <t>05.04.2021- 31.12.2021</t>
  </si>
  <si>
    <t>Постановление Администрации Колпашевского района от 02.04.2021 № 399 "О порядке расходования средств субсидии на обеспечение участия спортивных сборных команд муниципальных районов и городских округов Томской области в официальных региональных спортивных, физкультурных мероприятиях, проводимых на территории Томской области, за исключением спортивных сборных команд муниципального образования "Город Томск", муниципального образования "Городской округ - закрытое административно-территориальное образование Северск Томской области", муниципального образования "Томский район"</t>
  </si>
  <si>
    <t>09.04.2021- 31.12.2021</t>
  </si>
  <si>
    <t>Постановление Администрации Колпашевского района от 21.01.2021 № 74 "Об установлении расходного обязательства муниципального образования "Колпашевский район" в целях софинансирования которого предоставляется субсидия из областного бюджета местному бюджету на проведение комплексных кадастровых работ в 2021 году и плановом периоде 2022 и 2023 годов" (в редакции от 15.03.2021 № 321)</t>
  </si>
  <si>
    <t>Постановление Администрации Колпашевского района от 15.03.2021 № 322 "О порядке и сроке расходования средств субсидии из бюджета Томской области на проведение комплексных кадастровых работ"</t>
  </si>
  <si>
    <t>15.03.2021- 31.12.2023</t>
  </si>
  <si>
    <t>Постановление Администрации колпашевского района от 22.03.2021 № 353 "О иных межбюджетных трансферах на капитальный ремонт и (или) ремонт автомобильных дорог общего пользования местного значения, предоставляемых бюджетам поселений Колпашевского района в 2021 году"</t>
  </si>
  <si>
    <t>22.03.2021- 31.12.2021</t>
  </si>
  <si>
    <t>Решение Думы Колпашевского района от 29.03.2021 № 31 "О предоставлении иных межбюджетных трансфертов бюджетам муниципальных образований Колпашевского района на обустройство мест (площадок) накопления твёрдых коммунальных отходов"</t>
  </si>
  <si>
    <t>29.03.2021- 31.12.2021</t>
  </si>
  <si>
    <t>Решение Думы Колпашевского района от 29.03.2021 № 32 "О предоставлении иного межбюджетного трансферта бюджету муниципального образования "Новоселовское сельское поселение" на организацию уличного освещения"</t>
  </si>
  <si>
    <t>Решение Думы Колпашевского района от 29.03.2021 № 33 "О предоставлении иного межбюджетного трансферта бюджету муниципального образования "Чажемтовское сельское поселение" на ремонт водопровода в с. Озёрное"</t>
  </si>
  <si>
    <t>Решение Думы Колпашевского района от 29.03.2021 № 34 "О предоставлении иного межбюджетного трансферта бюджету муниципального образования "Колпашевское городское поселение" на обустройство и ремонт источников противопожарного водоснабжения в г. Колпашево и с. Тогур"</t>
  </si>
  <si>
    <t>Постановление Администрации Колпашевского района от 30.03.2021 № 378 "О финансировании мероприятия по оказанию помощи в ремонте и (или) переустройстве жилых помещений граждан, не стоящих на учёте в качестве нуждающихся в улучшении жилищных условий, и не реализовавших своё право на улучшение жилищных условий за счёт средств федерального и областного бюджетов в 2009 и последующих годах, из числа: участников и инвалидов Великой Отечественной войны 1941-1945 годов; тружеников тыла военных лет; лиц, награждённых знаком "Жителю блокадного Ленинграда"; бывших несовершеннолетних узников концлагерей; вдов погибших (умерших) участников Великой Отечественной войны 1941-1945 годов, не вступивших в повторный брак"</t>
  </si>
  <si>
    <t>30.03.2021- 31.12.2021</t>
  </si>
  <si>
    <t>Постановление Администрации Колпашевского района от 05.04.2021 № 400 "О порядке и сроках расходования средств субсидии из областного бюджета на стимулирующие выплаты в муниципальных организациях дополнительного образования в Томской области и об утверждении Порядка определения объёма и условий предоставления субсидии из бюджета муниципального образования "Колпашевский район" муниципальным бюджетным образовательным организациям и муниципальным автономным образовательным организациям Колпашевского района на стимулирующие выплаты в муниципальных организациях дополнительного образования в Томской области"</t>
  </si>
  <si>
    <t>Постановление Администрации Колпашевского района от 25.11.2015 № 1191 "О порядке предоставления субсидий субъектам малого и среднего предпринимательства, осуществляющим деятельность в сфере рыбного хозяйства" (в редакции от 07.12.2015 № 1246, от 16.12.2015 № 1300, от 29.06.2017 № 609, от 27.12.2017 № 1373, от 01.02.2018 № 66, от 02.04.2019 № 312) УТРАТИЛО силу в соответствии с постановлением от 15.06.2020 № 616</t>
  </si>
  <si>
    <t>Постановление Главы Колпашевского района от 16.04.2020 "О перечислении средств иных межбюджетных трансфертов Колпашевскому городскому поселению на исполнение судебных актов"</t>
  </si>
  <si>
    <t>Постановление администрации Колпашевского района от 20.01.2021 № 51 "О предоставлении бюджету муниципального образования "Саровское сельское поселение" иных межбюджетных трансфертов на обеспечение деятельности добровольной пожарной команды в д.Тискино Саровского сельского поселения"</t>
  </si>
  <si>
    <t>20.01.2021- 23.12.2021</t>
  </si>
  <si>
    <t>Постановление Администрация Колпашевского района от 00.00.2021 № 00 "О порядке и сроках расходования средств бюджетных ассигнований резервного фонда финансирования непредвиденных расходов Администрации Томской области" (распоряжение АТО от 14.04.2021 № 91р-в)</t>
  </si>
  <si>
    <t>(210 500)</t>
  </si>
  <si>
    <t>Всего</t>
  </si>
  <si>
    <t>570</t>
  </si>
  <si>
    <t>612</t>
  </si>
  <si>
    <t>МП Безопасность</t>
  </si>
  <si>
    <t>503</t>
  </si>
  <si>
    <t>577</t>
  </si>
  <si>
    <t>702</t>
  </si>
  <si>
    <t>Гор питание нач.</t>
  </si>
  <si>
    <t>575</t>
  </si>
  <si>
    <t>576</t>
  </si>
  <si>
    <t>611</t>
  </si>
  <si>
    <t>532</t>
  </si>
  <si>
    <t>533</t>
  </si>
  <si>
    <t>616</t>
  </si>
  <si>
    <t>515</t>
  </si>
  <si>
    <t>516</t>
  </si>
  <si>
    <t>524</t>
  </si>
  <si>
    <t>530</t>
  </si>
  <si>
    <t>531</t>
  </si>
  <si>
    <t>МП Развитие системы образования</t>
  </si>
  <si>
    <t>осн деятельность</t>
  </si>
  <si>
    <t>тек.ремонт</t>
  </si>
  <si>
    <t>питание малоим</t>
  </si>
  <si>
    <t>рез фонд ТО</t>
  </si>
  <si>
    <t>1.6.2.2.1.22. Иной межбюджетный трансферт на осуществление капитальных вложений в объекты муниципальной собственности в целях модернизации коммунальной инфраструктуры</t>
  </si>
  <si>
    <t>(219 670)</t>
  </si>
  <si>
    <t>1.6.4.2.2.2.5. Субсидия на осуществление капитальных вложений в объекты муниципальной собственности в целях модернизации коммунальной инфраструктуры Томской области</t>
  </si>
  <si>
    <t>1.6.4.2.2.2.6. Субсидия на финансовую поддержку инициативного проекта "Текущий ремонт водонапорной башни по адресу: с. Новоильинка, пер. Совхозный, 1/1", выдвинутого муниципальным образованием "Саровское сельское поселение", входящим в состав Колпашевского района Томской области</t>
  </si>
  <si>
    <t>1.6.4.2.4.6. Иной межбюджетный трансферт на осуществление дорожной деятельности в отношении автомобильных дорог общего пользования местного значения в границах населенных пунктов муниципального образования «Саровское сельское поселение»</t>
  </si>
  <si>
    <t>Иной межбюджетный трансферт на осуществление дорожной деятельности в отношении автомобильных дорог общего пользования местного значения в границах населенных пунктов муниципального образования «Саровское сельское поселение»</t>
  </si>
  <si>
    <t>1.6.4.2.21.4. МБТ из резервного фонда финансирования непредвиденных расходов Администрации Томской области (в соответствии с распоряжением АТО от 25.03.2021 № 68 р-в)</t>
  </si>
  <si>
    <t>1.6.4.2.1.3. Иной межбюджетный трансферт на обслуживание и проведение ремонтных работ воздушной линии электропередачи, расположенной по адресу: Российская Федерация, Томская область, Саровское сельское поселение, СНТ «Мичуринец», сооружение 1, воздушная линия электропередачи 0,4 кВ</t>
  </si>
  <si>
    <t>1.6.4.2.26.2.9. Субсидия на финансовую поддержку инициативного проекта "Обустройство уличного освещения в г. Колпашево, по ул. Красноармейская", выдвинутого муниципальным образованием "Колпашевское городское поселение", входящим в состав Колпашевского района Томской области</t>
  </si>
  <si>
    <t>1.6.4.2.26.2.10. Субсидия на финансовую поддержку инициативного проекта "Благоустройство территории сквера "Зеленый берег" по адресу: Томская область, Колпашевский район, с. Новоселово, ул. Центральная, 27/1", выдвинутого муниципальным образованием "Новоселовское сельское поселение", входящим в состав Колпашевского района Томской области</t>
  </si>
  <si>
    <t>1.6.4.2.26.2.11. Субсидия на реализацию мероприятий по благоустройству дворовых территорий в рамках государственной программы "Жилье и городская среда Томской области"</t>
  </si>
  <si>
    <t>Постановление Главы Колпашевского района от 16.04.2021 № 30 "О порядке и сроках расходования бюджетных ассигнований резервного фонда финансирования непредвиденных расходов Администрации Томской области" (распоряжение АТО от 11.03ю.2021 № 42 р-в)</t>
  </si>
  <si>
    <t>16.04.2021- 31.12.2021</t>
  </si>
  <si>
    <t>Постановление Главы Колпашевского района от 19.04.2021 № 31 "О порядке и сроках расходования бюджетных ассигнований резервного фонда финансирования непредвиденных расходов Администрации Томской области"</t>
  </si>
  <si>
    <t>19.04.2021- 01.12.2021</t>
  </si>
  <si>
    <t>Постановление Администрации Колпашевского района от 19.04.2021 № 473 "О порядке расходования средств субсидии на 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организаций дополнительного образования Томской области, и об утверждении Порядка определения объёма и условий предоставления субсидии из средств бюджета муниципального образования «Колпашевский район» муниципальным бюджетным общеобразовательным организациям и муниципальным автономным общеобразовательным организациям субсидии на 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организаций дополнительного образования Томской области"</t>
  </si>
  <si>
    <t>Постановление Администрации Колпашевского района от 20.04.2021 № 482 "О порядке и сроках расходования средств субсидии на внедрение и функционирование целевой модели цифровой образовательной среды в муниципальных общеобразовательных организациях и об утверждении Порядка определения объёма и условия предоставления субсидии из бюджета муниципального образования «Колпашевский район» муниципальным бюджетным образовательным организациям и муниципальным автономным образовательным организациям на внедрение и функционирование целевой модели цифровой образовательной среды в муниципальных общеобразовательных организациях"</t>
  </si>
  <si>
    <t>20.04.2021- 31.12.2021</t>
  </si>
  <si>
    <t>Постановление Администрации Колпашевского района от 23.04.2021 № 499 "О порядке и сроках расходования средств субсидии, о расходовании средств бюджета муниципального образования «Колпашевский район» на достижение целевых показателей по плану мероприятий («дорожной карте») «Изменения в сфере культуры, направленные на повышение её эффективности», в части повышения заработной платы работников муниципальных учреждений культуры, об утверждении порядка определения объёма и условия предоставления субсидии муниципальным бюджетным учреждениям культуры Колпашевского района на достижение целевых показателей по плану мероприятий («дорожной карте») «Изменения в сфере культуры, направленные на повышение её эффективности», в части повышения заработной платы работников муниципальных учреждений культуры"</t>
  </si>
  <si>
    <t>01.01.2021- 31.12.2021</t>
  </si>
  <si>
    <t>Решение Думы Колпашевского района от 26.04.2021 № 40 "О предоставлении иного межбюджетного трансферта бюджету муниципального образования "Колпашевское городское поселение" на укрепление материально-технической базы, приобретение спортивной экипировки"</t>
  </si>
  <si>
    <t>26.04.2021- 01.12.2021</t>
  </si>
  <si>
    <t>Решение Думы Колпашевского района от 25.01.2021 № 4 "О предоставлении и распределении иных межбюджетных трансфертов бюджетам поселений Колпашевского района на обеспечение условий для развития физической культуры и массового спорта" (в редакции от 29.03.2021 № 30, от 26.04.2021 № 41)</t>
  </si>
  <si>
    <t>Решение Думы Колпашевского района от 26.04.2021 № 42 "О предоставлении иного межбюджетного трансферта бюджету муниципального образования "Колпашевское городское поселение" на осуществление капитальных вложений в объекты муниципальной собственности в целях модернизации коммунальной инфраструктуры"</t>
  </si>
  <si>
    <t>26.04.2021- 31.12.2021</t>
  </si>
  <si>
    <t>Решение Думы Колпашевского района от 26.04.2021 № 43 "О предоставлении иного межбюджетного трансферта бюджету муниципального образования "Колпашевское городское поселение" на ремонт муниципального жилья"</t>
  </si>
  <si>
    <t>26.04.2021- 27.12.2021</t>
  </si>
  <si>
    <t>Дума Колпашевского района от 26.04.2021 № 44 "О предоставлении иных межбюджетных трансфертов бюджетам поселений, входящих в состав муниципального образования "Колпашевский район" на финансовую поддержку инициативных проектов, выдвигаемых муниципальными образованиями Колпашевского района, на 2021 год"</t>
  </si>
  <si>
    <t>(221 523)</t>
  </si>
  <si>
    <t>Решение Думы Колпашевского района от 21.11.2020 № 27 "О предоставлении иного межбюджетного трансферта бюджету муниципального образования "Колпашевское городское поселение" на осуществление дорожной деятельности в отношении автомобильных дорог общего пользования местного значения в границах населенных пунктов муниципального образования "Колпашевское городское поселение" в 2021 году" (в редакции от 26.04.2021 № 45)</t>
  </si>
  <si>
    <t>Решение Думы Колпашевского района от 26.04.2021 № 46 "О предоставлении иного межбюджетного трансферта бюджету муниципального образования "Саровское сельское поселение" на осуществление дорожной деятельности в отношении автомобильных дорог общего пользования местного значения в границах населенных пунктов муниципального образования "Саровское сельское поселение" в 2021 году"</t>
  </si>
  <si>
    <t>Решение Думы Колпашевского района от 26.04.2021 № 47 "О предоставлении в 2021 году иного межбюджетного трансферта бюджету муниципального образования "Саровское сельское поселение" на обслуживание и проведение ремонтных работ воздушной линии электропередачи, расположенной по адресу: Российская Федерация, Томская область, Саровское сельское поселение, СНТ "Мичуринец", сооружение 1, воздушная линия электропередачи 0,4 кВ"</t>
  </si>
  <si>
    <t>26.04.2021- 20.12.2021</t>
  </si>
  <si>
    <t>Постановление Администрации Колпашевского района от 29.04.2021 № 514 "О порядке и сроках расходования бюджетных ассигнований резервного фонда финансирования непредвиденных расходов Администрации Томской области, об утверждении порядка определения объёма и условий предоставления Муниципальному бюджетному учреждению «Центр культуры и досуга» субсидии на иные цели из бюджета муниципального образования «Колпашевский район» за счет средств резервного фонда финансирования непредвиденных расходов Администрации Томской области"</t>
  </si>
  <si>
    <t>29.04.2021- 31.12.2021</t>
  </si>
  <si>
    <t>Постановление Администрации Колпашевского района от 04.05.2021 № 526 "О порядке расходования средств межбюджетного трансферта на 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дошкольных образовательных организаций, и об утверждении Порядка определения объёма и условий предоставления субсидии из средств бюджета муниципального образования "Колпашевский район" муниципальным бюджетным общеобразовательным организациям и муниципальным автономным общеобразовательным организациям субсидии на 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дошкольных образовательных организаций"</t>
  </si>
  <si>
    <t>04.05.2021- 31.12.2021</t>
  </si>
  <si>
    <t>Реестр расходных обязательств муниципального образования "Колпашевский район" на 2021 год</t>
  </si>
  <si>
    <t>Постановление Администрации Колпашевского района от 14.05.2021 № 569 "О порядке и сроках расходования средств субсидии на улучшение жилищных условий граждан Российской Федерации, проживающих на сельских территориях"</t>
  </si>
  <si>
    <t>(601)</t>
  </si>
  <si>
    <t>14.05.2021- 31.12.2021</t>
  </si>
</sst>
</file>

<file path=xl/styles.xml><?xml version="1.0" encoding="utf-8"?>
<styleSheet xmlns="http://schemas.openxmlformats.org/spreadsheetml/2006/main">
  <numFmts count="4">
    <numFmt numFmtId="164" formatCode="[$-10419]#,##0.0;\-#,##0.0"/>
    <numFmt numFmtId="165" formatCode="#,##0.0_ ;\-#,##0.0\ "/>
    <numFmt numFmtId="166" formatCode="#,##0.0"/>
    <numFmt numFmtId="167" formatCode="#,##0.000"/>
  </numFmts>
  <fonts count="19">
    <font>
      <sz val="10"/>
      <name val="Arial"/>
    </font>
    <font>
      <sz val="10"/>
      <name val="Arial"/>
      <family val="2"/>
      <charset val="204"/>
    </font>
    <font>
      <sz val="14"/>
      <name val="Times New Roman"/>
      <family val="1"/>
      <charset val="204"/>
    </font>
    <font>
      <sz val="9"/>
      <name val="Times New Roman CYR"/>
      <family val="1"/>
      <charset val="204"/>
    </font>
    <font>
      <sz val="9"/>
      <name val="Times New Roman"/>
      <family val="1"/>
      <charset val="204"/>
    </font>
    <font>
      <sz val="10"/>
      <name val="Arial"/>
      <family val="2"/>
      <charset val="204"/>
    </font>
    <font>
      <sz val="9"/>
      <name val="Times New Roman CYR"/>
      <charset val="204"/>
    </font>
    <font>
      <b/>
      <sz val="9"/>
      <name val="Times New Roman"/>
      <family val="1"/>
      <charset val="204"/>
    </font>
    <font>
      <b/>
      <i/>
      <sz val="9"/>
      <name val="Times New Roman"/>
      <family val="1"/>
      <charset val="204"/>
    </font>
    <font>
      <b/>
      <sz val="9"/>
      <name val="Times New Roman CYR"/>
      <family val="1"/>
      <charset val="204"/>
    </font>
    <font>
      <b/>
      <sz val="9"/>
      <name val="Times New Roman CYR"/>
      <charset val="204"/>
    </font>
    <font>
      <sz val="9"/>
      <name val="Arial Cyr"/>
      <charset val="204"/>
    </font>
    <font>
      <sz val="10"/>
      <name val="Times New Roman"/>
      <family val="1"/>
      <charset val="204"/>
    </font>
    <font>
      <sz val="6"/>
      <name val="Arial"/>
      <family val="2"/>
      <charset val="204"/>
    </font>
    <font>
      <sz val="8"/>
      <name val="Arial"/>
      <family val="2"/>
      <charset val="204"/>
    </font>
    <font>
      <sz val="8"/>
      <name val="Times New Roman"/>
      <family val="1"/>
      <charset val="204"/>
    </font>
    <font>
      <b/>
      <sz val="14"/>
      <name val="Times New Roman"/>
      <family val="1"/>
      <charset val="204"/>
    </font>
    <font>
      <i/>
      <sz val="9"/>
      <name val="Times New Roman"/>
      <family val="1"/>
      <charset val="204"/>
    </font>
    <font>
      <b/>
      <i/>
      <sz val="9"/>
      <name val="Times New Roman CYR"/>
      <family val="1"/>
      <charset val="204"/>
    </font>
  </fonts>
  <fills count="3">
    <fill>
      <patternFill patternType="none"/>
    </fill>
    <fill>
      <patternFill patternType="gray125"/>
    </fill>
    <fill>
      <patternFill patternType="solid">
        <fgColor rgb="FFFFFF00"/>
        <bgColor indexed="64"/>
      </patternFill>
    </fill>
  </fills>
  <borders count="65">
    <border>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64"/>
      </left>
      <right style="thin">
        <color indexed="8"/>
      </right>
      <top/>
      <bottom/>
      <diagonal/>
    </border>
    <border>
      <left style="thin">
        <color indexed="64"/>
      </left>
      <right/>
      <top/>
      <bottom/>
      <diagonal/>
    </border>
    <border>
      <left style="thin">
        <color indexed="8"/>
      </left>
      <right style="thin">
        <color indexed="64"/>
      </right>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right/>
      <top style="thin">
        <color indexed="8"/>
      </top>
      <bottom/>
      <diagonal/>
    </border>
    <border>
      <left style="thin">
        <color indexed="64"/>
      </left>
      <right style="thin">
        <color indexed="64"/>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64"/>
      </left>
      <right style="thin">
        <color indexed="64"/>
      </right>
      <top/>
      <bottom style="thin">
        <color indexed="8"/>
      </bottom>
      <diagonal/>
    </border>
    <border>
      <left style="thin">
        <color indexed="64"/>
      </left>
      <right style="thin">
        <color indexed="8"/>
      </right>
      <top/>
      <bottom style="thin">
        <color indexed="8"/>
      </bottom>
      <diagonal/>
    </border>
    <border>
      <left style="thin">
        <color indexed="8"/>
      </left>
      <right/>
      <top style="thin">
        <color indexed="8"/>
      </top>
      <bottom/>
      <diagonal/>
    </border>
    <border>
      <left style="thin">
        <color indexed="64"/>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64"/>
      </bottom>
      <diagonal/>
    </border>
    <border>
      <left style="thin">
        <color indexed="64"/>
      </left>
      <right style="thin">
        <color indexed="8"/>
      </right>
      <top style="thin">
        <color indexed="8"/>
      </top>
      <bottom style="thin">
        <color indexed="64"/>
      </bottom>
      <diagonal/>
    </border>
    <border>
      <left/>
      <right style="thin">
        <color indexed="64"/>
      </right>
      <top style="thin">
        <color indexed="64"/>
      </top>
      <bottom style="thin">
        <color indexed="64"/>
      </bottom>
      <diagonal/>
    </border>
    <border>
      <left style="thin">
        <color indexed="64"/>
      </left>
      <right/>
      <top style="thin">
        <color indexed="8"/>
      </top>
      <bottom/>
      <diagonal/>
    </border>
    <border>
      <left style="thin">
        <color indexed="64"/>
      </left>
      <right/>
      <top style="thin">
        <color indexed="64"/>
      </top>
      <bottom style="thin">
        <color indexed="64"/>
      </bottom>
      <diagonal/>
    </border>
    <border>
      <left style="thin">
        <color indexed="8"/>
      </left>
      <right/>
      <top/>
      <bottom style="thin">
        <color indexed="8"/>
      </bottom>
      <diagonal/>
    </border>
    <border>
      <left style="thin">
        <color indexed="64"/>
      </left>
      <right/>
      <top style="thin">
        <color indexed="64"/>
      </top>
      <bottom/>
      <diagonal/>
    </border>
    <border>
      <left style="thin">
        <color indexed="64"/>
      </left>
      <right/>
      <top/>
      <bottom style="thin">
        <color indexed="8"/>
      </bottom>
      <diagonal/>
    </border>
    <border>
      <left style="thin">
        <color indexed="8"/>
      </left>
      <right/>
      <top style="thin">
        <color indexed="8"/>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64"/>
      </right>
      <top style="thin">
        <color indexed="8"/>
      </top>
      <bottom style="thin">
        <color indexed="8"/>
      </bottom>
      <diagonal/>
    </border>
    <border>
      <left/>
      <right style="thin">
        <color indexed="64"/>
      </right>
      <top/>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thin">
        <color indexed="64"/>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style="thin">
        <color indexed="64"/>
      </top>
      <bottom style="thin">
        <color indexed="8"/>
      </bottom>
      <diagonal/>
    </border>
    <border>
      <left style="thin">
        <color indexed="64"/>
      </left>
      <right/>
      <top/>
      <bottom style="thin">
        <color indexed="64"/>
      </bottom>
      <diagonal/>
    </border>
    <border>
      <left/>
      <right style="thin">
        <color indexed="64"/>
      </right>
      <top/>
      <bottom style="thin">
        <color indexed="8"/>
      </bottom>
      <diagonal/>
    </border>
    <border>
      <left/>
      <right/>
      <top style="thin">
        <color indexed="64"/>
      </top>
      <bottom/>
      <diagonal/>
    </border>
    <border>
      <left style="thin">
        <color indexed="8"/>
      </left>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bottom style="thin">
        <color indexed="8"/>
      </bottom>
      <diagonal/>
    </border>
    <border>
      <left style="thin">
        <color auto="1"/>
      </left>
      <right style="thin">
        <color auto="1"/>
      </right>
      <top/>
      <bottom style="thin">
        <color auto="1"/>
      </bottom>
      <diagonal/>
    </border>
    <border>
      <left/>
      <right/>
      <top style="thin">
        <color indexed="64"/>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64"/>
      </bottom>
      <diagonal/>
    </border>
  </borders>
  <cellStyleXfs count="2">
    <xf numFmtId="0" fontId="0" fillId="0" borderId="0"/>
    <xf numFmtId="0" fontId="5" fillId="0" borderId="0"/>
  </cellStyleXfs>
  <cellXfs count="671">
    <xf numFmtId="0" fontId="0" fillId="0" borderId="0" xfId="0"/>
    <xf numFmtId="0" fontId="4" fillId="0" borderId="1" xfId="0" applyNumberFormat="1" applyFont="1" applyFill="1" applyBorder="1" applyAlignment="1" applyProtection="1">
      <alignment horizontal="center" vertical="center" wrapText="1" shrinkToFit="1"/>
      <protection locked="0"/>
    </xf>
    <xf numFmtId="0" fontId="9" fillId="0" borderId="3" xfId="0" applyNumberFormat="1" applyFont="1" applyFill="1" applyBorder="1" applyAlignment="1" applyProtection="1">
      <alignment horizontal="center" vertical="center" wrapText="1" shrinkToFit="1"/>
      <protection locked="0"/>
    </xf>
    <xf numFmtId="0" fontId="8" fillId="0" borderId="3" xfId="1" applyNumberFormat="1" applyFont="1" applyFill="1" applyBorder="1" applyAlignment="1">
      <alignment horizontal="center" vertical="center" wrapText="1"/>
    </xf>
    <xf numFmtId="0" fontId="8" fillId="0" borderId="3" xfId="0" applyNumberFormat="1" applyFont="1" applyFill="1" applyBorder="1" applyAlignment="1" applyProtection="1">
      <alignment horizontal="center" vertical="center" wrapText="1" shrinkToFit="1"/>
      <protection locked="0"/>
    </xf>
    <xf numFmtId="0" fontId="4" fillId="0" borderId="2" xfId="0" applyNumberFormat="1" applyFont="1" applyFill="1" applyBorder="1" applyAlignment="1" applyProtection="1">
      <alignment horizontal="center" vertical="center" wrapText="1" shrinkToFit="1"/>
      <protection locked="0"/>
    </xf>
    <xf numFmtId="14" fontId="4" fillId="0" borderId="2" xfId="0" applyNumberFormat="1" applyFont="1" applyFill="1" applyBorder="1" applyAlignment="1" applyProtection="1">
      <alignment horizontal="center" vertical="center" wrapText="1" shrinkToFit="1"/>
      <protection locked="0"/>
    </xf>
    <xf numFmtId="14" fontId="4" fillId="0" borderId="2" xfId="0" applyNumberFormat="1" applyFont="1" applyFill="1" applyBorder="1" applyAlignment="1" applyProtection="1">
      <alignment horizontal="center" vertical="top" wrapText="1" shrinkToFit="1"/>
      <protection locked="0"/>
    </xf>
    <xf numFmtId="14" fontId="4" fillId="0" borderId="1" xfId="0" applyNumberFormat="1" applyFont="1" applyFill="1" applyBorder="1" applyAlignment="1" applyProtection="1">
      <alignment horizontal="center" vertical="center" wrapText="1" shrinkToFit="1"/>
      <protection locked="0"/>
    </xf>
    <xf numFmtId="0" fontId="4" fillId="0" borderId="5" xfId="0" applyNumberFormat="1" applyFont="1" applyFill="1" applyBorder="1" applyAlignment="1" applyProtection="1">
      <alignment horizontal="center" vertical="center" wrapText="1" shrinkToFit="1"/>
      <protection locked="0"/>
    </xf>
    <xf numFmtId="0" fontId="7" fillId="0" borderId="5" xfId="0" applyNumberFormat="1" applyFont="1" applyFill="1" applyBorder="1" applyAlignment="1" applyProtection="1">
      <alignment horizontal="center" vertical="center" wrapText="1" shrinkToFit="1"/>
      <protection locked="0"/>
    </xf>
    <xf numFmtId="14" fontId="7" fillId="0" borderId="5" xfId="0" applyNumberFormat="1" applyFont="1" applyFill="1" applyBorder="1" applyAlignment="1" applyProtection="1">
      <alignment horizontal="center" vertical="center" wrapText="1" shrinkToFit="1"/>
      <protection locked="0"/>
    </xf>
    <xf numFmtId="0" fontId="8" fillId="0" borderId="5" xfId="0" applyNumberFormat="1" applyFont="1" applyFill="1" applyBorder="1" applyAlignment="1" applyProtection="1">
      <alignment horizontal="center" vertical="center" wrapText="1" shrinkToFit="1"/>
      <protection locked="0"/>
    </xf>
    <xf numFmtId="0" fontId="9" fillId="0" borderId="5" xfId="0" applyNumberFormat="1" applyFont="1" applyFill="1" applyBorder="1" applyAlignment="1" applyProtection="1">
      <alignment horizontal="center" vertical="center" wrapText="1" shrinkToFit="1"/>
      <protection locked="0"/>
    </xf>
    <xf numFmtId="0" fontId="3" fillId="0" borderId="8" xfId="0" applyNumberFormat="1" applyFont="1" applyFill="1" applyBorder="1" applyAlignment="1" applyProtection="1">
      <alignment horizontal="center" vertical="top" wrapText="1" shrinkToFit="1"/>
      <protection locked="0"/>
    </xf>
    <xf numFmtId="0" fontId="9" fillId="0" borderId="10" xfId="0" applyNumberFormat="1" applyFont="1" applyFill="1" applyBorder="1" applyAlignment="1" applyProtection="1">
      <alignment vertical="center" wrapText="1" shrinkToFit="1"/>
      <protection locked="0"/>
    </xf>
    <xf numFmtId="0" fontId="9" fillId="0" borderId="1" xfId="0" applyNumberFormat="1" applyFont="1" applyFill="1" applyBorder="1" applyAlignment="1" applyProtection="1">
      <alignment vertical="center" wrapText="1" shrinkToFit="1"/>
      <protection locked="0"/>
    </xf>
    <xf numFmtId="0" fontId="9" fillId="0" borderId="8" xfId="0" applyNumberFormat="1" applyFont="1" applyFill="1" applyBorder="1" applyAlignment="1" applyProtection="1">
      <alignment vertical="center" wrapText="1" shrinkToFit="1"/>
      <protection locked="0"/>
    </xf>
    <xf numFmtId="164" fontId="4" fillId="0" borderId="11" xfId="0" applyNumberFormat="1" applyFont="1" applyFill="1" applyBorder="1" applyAlignment="1" applyProtection="1">
      <alignment vertical="top" wrapText="1" readingOrder="1"/>
      <protection locked="0"/>
    </xf>
    <xf numFmtId="0" fontId="6" fillId="0" borderId="4" xfId="0" applyNumberFormat="1" applyFont="1" applyFill="1" applyBorder="1" applyAlignment="1" applyProtection="1">
      <alignment horizontal="center" vertical="top" wrapText="1"/>
    </xf>
    <xf numFmtId="0" fontId="6" fillId="0" borderId="12" xfId="0" applyNumberFormat="1" applyFont="1" applyFill="1" applyBorder="1" applyAlignment="1" applyProtection="1">
      <alignment horizontal="center" vertical="top" wrapText="1"/>
    </xf>
    <xf numFmtId="0" fontId="11" fillId="0" borderId="1" xfId="0" applyFont="1" applyFill="1" applyBorder="1" applyAlignment="1">
      <alignment horizontal="center" vertical="top"/>
    </xf>
    <xf numFmtId="0" fontId="6" fillId="0" borderId="5" xfId="0" applyNumberFormat="1" applyFont="1" applyFill="1" applyBorder="1" applyAlignment="1" applyProtection="1">
      <alignment horizontal="center" vertical="top" wrapText="1" shrinkToFit="1"/>
      <protection locked="0"/>
    </xf>
    <xf numFmtId="0" fontId="3" fillId="0" borderId="3" xfId="0" applyNumberFormat="1" applyFont="1" applyFill="1" applyBorder="1" applyAlignment="1" applyProtection="1">
      <alignment horizontal="center" vertical="center" wrapText="1" shrinkToFit="1"/>
      <protection locked="0"/>
    </xf>
    <xf numFmtId="0" fontId="6" fillId="0" borderId="2" xfId="0" applyNumberFormat="1" applyFont="1" applyFill="1" applyBorder="1" applyAlignment="1" applyProtection="1">
      <alignment horizontal="center" vertical="top" wrapText="1" shrinkToFit="1" readingOrder="1"/>
      <protection locked="0"/>
    </xf>
    <xf numFmtId="0" fontId="3" fillId="0" borderId="2" xfId="0" applyNumberFormat="1" applyFont="1" applyFill="1" applyBorder="1" applyAlignment="1" applyProtection="1">
      <alignment horizontal="center" vertical="top" wrapText="1" shrinkToFit="1" readingOrder="1"/>
      <protection locked="0"/>
    </xf>
    <xf numFmtId="14" fontId="3" fillId="0" borderId="2" xfId="0" applyNumberFormat="1" applyFont="1" applyFill="1" applyBorder="1" applyAlignment="1" applyProtection="1">
      <alignment horizontal="center" vertical="top" wrapText="1" shrinkToFit="1" readingOrder="1"/>
      <protection locked="0"/>
    </xf>
    <xf numFmtId="0" fontId="7" fillId="0" borderId="6" xfId="0" applyNumberFormat="1" applyFont="1" applyFill="1" applyBorder="1" applyAlignment="1" applyProtection="1">
      <alignment horizontal="center" vertical="center" wrapText="1" shrinkToFit="1"/>
      <protection locked="0"/>
    </xf>
    <xf numFmtId="14" fontId="7" fillId="0" borderId="6" xfId="0" applyNumberFormat="1" applyFont="1" applyFill="1" applyBorder="1" applyAlignment="1" applyProtection="1">
      <alignment horizontal="center" vertical="center" wrapText="1" shrinkToFit="1"/>
      <protection locked="0"/>
    </xf>
    <xf numFmtId="0" fontId="2" fillId="0" borderId="0" xfId="0" applyFont="1" applyFill="1"/>
    <xf numFmtId="0" fontId="10" fillId="0" borderId="1"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top" wrapText="1" shrinkToFit="1" readingOrder="1"/>
      <protection locked="0"/>
    </xf>
    <xf numFmtId="4" fontId="12" fillId="0" borderId="5" xfId="0" applyNumberFormat="1" applyFont="1" applyFill="1" applyBorder="1"/>
    <xf numFmtId="0" fontId="0" fillId="0" borderId="0" xfId="0" applyFill="1"/>
    <xf numFmtId="0" fontId="7" fillId="0" borderId="11" xfId="0" applyFont="1" applyFill="1" applyBorder="1" applyAlignment="1" applyProtection="1">
      <alignment vertical="top" wrapText="1" readingOrder="1"/>
      <protection locked="0"/>
    </xf>
    <xf numFmtId="164" fontId="7" fillId="0" borderId="11" xfId="0" applyNumberFormat="1" applyFont="1" applyFill="1" applyBorder="1" applyAlignment="1" applyProtection="1">
      <alignment vertical="top" wrapText="1" readingOrder="1"/>
      <protection locked="0"/>
    </xf>
    <xf numFmtId="0" fontId="7" fillId="0" borderId="3" xfId="0" applyFont="1" applyFill="1" applyBorder="1" applyAlignment="1" applyProtection="1">
      <alignment vertical="top" wrapText="1" readingOrder="1"/>
      <protection locked="0"/>
    </xf>
    <xf numFmtId="0" fontId="7" fillId="0" borderId="3" xfId="0" applyFont="1" applyFill="1" applyBorder="1" applyAlignment="1" applyProtection="1">
      <alignment horizontal="center" vertical="top" wrapText="1" readingOrder="1"/>
      <protection locked="0"/>
    </xf>
    <xf numFmtId="0" fontId="8" fillId="0" borderId="3" xfId="0" applyFont="1" applyFill="1" applyBorder="1" applyAlignment="1" applyProtection="1">
      <alignment vertical="top" wrapText="1" readingOrder="1"/>
      <protection locked="0"/>
    </xf>
    <xf numFmtId="0" fontId="8" fillId="0" borderId="3" xfId="0" applyFont="1" applyFill="1" applyBorder="1" applyAlignment="1" applyProtection="1">
      <alignment horizontal="center" vertical="top" wrapText="1" readingOrder="1"/>
      <protection locked="0"/>
    </xf>
    <xf numFmtId="164" fontId="8" fillId="0" borderId="3" xfId="0" applyNumberFormat="1" applyFont="1" applyFill="1" applyBorder="1" applyAlignment="1" applyProtection="1">
      <alignment vertical="top" wrapText="1" readingOrder="1"/>
      <protection locked="0"/>
    </xf>
    <xf numFmtId="0" fontId="8" fillId="0" borderId="11" xfId="0" applyFont="1" applyFill="1" applyBorder="1" applyAlignment="1" applyProtection="1">
      <alignment horizontal="center" vertical="top" wrapText="1" readingOrder="1"/>
      <protection locked="0"/>
    </xf>
    <xf numFmtId="0" fontId="4" fillId="0" borderId="2" xfId="0" applyFont="1" applyFill="1" applyBorder="1" applyAlignment="1" applyProtection="1">
      <alignment vertical="top" wrapText="1" readingOrder="1"/>
      <protection locked="0"/>
    </xf>
    <xf numFmtId="0" fontId="4" fillId="0" borderId="14" xfId="0" applyFont="1" applyFill="1" applyBorder="1" applyAlignment="1" applyProtection="1">
      <alignment horizontal="center" vertical="top" wrapText="1" readingOrder="1"/>
      <protection locked="0"/>
    </xf>
    <xf numFmtId="164" fontId="4" fillId="0" borderId="1" xfId="0" applyNumberFormat="1" applyFont="1" applyFill="1" applyBorder="1" applyAlignment="1" applyProtection="1">
      <alignment vertical="top" wrapText="1" readingOrder="1"/>
      <protection locked="0"/>
    </xf>
    <xf numFmtId="0" fontId="4" fillId="0" borderId="7" xfId="0" applyFont="1" applyFill="1" applyBorder="1" applyAlignment="1" applyProtection="1">
      <alignment vertical="top" wrapText="1" readingOrder="1"/>
      <protection locked="0"/>
    </xf>
    <xf numFmtId="0" fontId="4" fillId="0" borderId="15" xfId="0" applyFont="1" applyFill="1" applyBorder="1" applyAlignment="1" applyProtection="1">
      <alignment horizontal="center" vertical="top" wrapText="1" readingOrder="1"/>
      <protection locked="0"/>
    </xf>
    <xf numFmtId="0" fontId="7" fillId="0" borderId="16" xfId="0" applyFont="1" applyFill="1" applyBorder="1" applyAlignment="1" applyProtection="1">
      <alignment vertical="top" wrapText="1" readingOrder="1"/>
      <protection locked="0"/>
    </xf>
    <xf numFmtId="0" fontId="7" fillId="0" borderId="5" xfId="0" applyFont="1" applyFill="1" applyBorder="1" applyAlignment="1" applyProtection="1">
      <alignment horizontal="center" vertical="center" wrapText="1"/>
      <protection locked="0"/>
    </xf>
    <xf numFmtId="0" fontId="4" fillId="0" borderId="11" xfId="0" applyFont="1" applyFill="1" applyBorder="1" applyAlignment="1" applyProtection="1">
      <alignment vertical="top" wrapText="1" readingOrder="1"/>
      <protection locked="0"/>
    </xf>
    <xf numFmtId="164" fontId="4" fillId="0" borderId="2" xfId="0" applyNumberFormat="1" applyFont="1" applyFill="1" applyBorder="1" applyAlignment="1" applyProtection="1">
      <alignment vertical="top" wrapText="1" readingOrder="1"/>
      <protection locked="0"/>
    </xf>
    <xf numFmtId="0" fontId="4" fillId="0" borderId="1" xfId="0" applyFont="1" applyFill="1" applyBorder="1" applyAlignment="1" applyProtection="1">
      <alignment vertical="top" wrapText="1" readingOrder="1"/>
      <protection locked="0"/>
    </xf>
    <xf numFmtId="0" fontId="7" fillId="0" borderId="2" xfId="0" applyFont="1" applyFill="1" applyBorder="1" applyAlignment="1" applyProtection="1">
      <alignment vertical="top" wrapText="1" readingOrder="1"/>
      <protection locked="0"/>
    </xf>
    <xf numFmtId="164" fontId="7" fillId="0" borderId="2" xfId="0" applyNumberFormat="1" applyFont="1" applyFill="1" applyBorder="1" applyAlignment="1" applyProtection="1">
      <alignment vertical="top" wrapText="1" readingOrder="1"/>
      <protection locked="0"/>
    </xf>
    <xf numFmtId="0" fontId="4" fillId="0" borderId="17" xfId="0" applyFont="1" applyFill="1" applyBorder="1" applyAlignment="1" applyProtection="1">
      <alignment horizontal="center" vertical="top" wrapText="1" readingOrder="1"/>
      <protection locked="0"/>
    </xf>
    <xf numFmtId="164" fontId="4" fillId="0" borderId="7" xfId="0" applyNumberFormat="1" applyFont="1" applyFill="1" applyBorder="1" applyAlignment="1" applyProtection="1">
      <alignment vertical="top" wrapText="1" readingOrder="1"/>
      <protection locked="0"/>
    </xf>
    <xf numFmtId="0" fontId="7" fillId="0" borderId="4" xfId="0" applyFont="1" applyFill="1" applyBorder="1" applyAlignment="1" applyProtection="1">
      <alignment horizontal="center" vertical="top" wrapText="1" readingOrder="1"/>
      <protection locked="0"/>
    </xf>
    <xf numFmtId="0" fontId="7" fillId="0" borderId="17" xfId="0" applyFont="1" applyFill="1" applyBorder="1" applyAlignment="1" applyProtection="1">
      <alignment horizontal="center" vertical="top" wrapText="1" readingOrder="1"/>
      <protection locked="0"/>
    </xf>
    <xf numFmtId="164" fontId="8" fillId="0" borderId="11" xfId="0" applyNumberFormat="1" applyFont="1" applyFill="1" applyBorder="1" applyAlignment="1" applyProtection="1">
      <alignment vertical="top" wrapText="1" readingOrder="1"/>
      <protection locked="0"/>
    </xf>
    <xf numFmtId="164" fontId="4" fillId="0" borderId="14" xfId="0" applyNumberFormat="1" applyFont="1" applyFill="1" applyBorder="1" applyAlignment="1" applyProtection="1">
      <alignment vertical="top" wrapText="1" readingOrder="1"/>
      <protection locked="0"/>
    </xf>
    <xf numFmtId="164" fontId="4" fillId="0" borderId="18" xfId="0" applyNumberFormat="1" applyFont="1" applyFill="1" applyBorder="1" applyAlignment="1" applyProtection="1">
      <alignment vertical="top" wrapText="1" readingOrder="1"/>
      <protection locked="0"/>
    </xf>
    <xf numFmtId="0" fontId="7" fillId="0" borderId="14" xfId="0" applyFont="1" applyFill="1" applyBorder="1" applyAlignment="1" applyProtection="1">
      <alignment horizontal="center" vertical="top" wrapText="1" readingOrder="1"/>
      <protection locked="0"/>
    </xf>
    <xf numFmtId="0" fontId="7" fillId="0" borderId="18" xfId="0" applyFont="1" applyFill="1" applyBorder="1" applyAlignment="1" applyProtection="1">
      <alignment horizontal="center" vertical="top" wrapText="1" readingOrder="1"/>
      <protection locked="0"/>
    </xf>
    <xf numFmtId="164" fontId="7" fillId="0" borderId="18" xfId="0" applyNumberFormat="1" applyFont="1" applyFill="1" applyBorder="1" applyAlignment="1" applyProtection="1">
      <alignment vertical="top" wrapText="1" readingOrder="1"/>
      <protection locked="0"/>
    </xf>
    <xf numFmtId="0" fontId="7" fillId="0" borderId="18" xfId="0" applyFont="1" applyFill="1" applyBorder="1" applyAlignment="1" applyProtection="1">
      <alignment vertical="top" wrapText="1" readingOrder="1"/>
      <protection locked="0"/>
    </xf>
    <xf numFmtId="0" fontId="7" fillId="0" borderId="5" xfId="0" applyFont="1" applyFill="1" applyBorder="1" applyAlignment="1" applyProtection="1">
      <alignment vertical="top" wrapText="1" readingOrder="1"/>
      <protection locked="0"/>
    </xf>
    <xf numFmtId="164" fontId="4" fillId="0" borderId="4" xfId="0" applyNumberFormat="1" applyFont="1" applyFill="1" applyBorder="1" applyAlignment="1" applyProtection="1">
      <alignment vertical="top" wrapText="1" readingOrder="1"/>
      <protection locked="0"/>
    </xf>
    <xf numFmtId="49" fontId="4" fillId="0" borderId="8" xfId="0" applyNumberFormat="1" applyFont="1" applyFill="1" applyBorder="1" applyAlignment="1" applyProtection="1">
      <alignment horizontal="center" vertical="top" wrapText="1" readingOrder="1"/>
      <protection locked="0"/>
    </xf>
    <xf numFmtId="49" fontId="4" fillId="0" borderId="7" xfId="0" applyNumberFormat="1" applyFont="1" applyFill="1" applyBorder="1" applyAlignment="1" applyProtection="1">
      <alignment horizontal="center" vertical="top" wrapText="1" readingOrder="1"/>
      <protection locked="0"/>
    </xf>
    <xf numFmtId="49" fontId="4" fillId="0" borderId="14" xfId="0" applyNumberFormat="1" applyFont="1" applyFill="1" applyBorder="1" applyAlignment="1" applyProtection="1">
      <alignment horizontal="center" vertical="top" wrapText="1" readingOrder="1"/>
      <protection locked="0"/>
    </xf>
    <xf numFmtId="49" fontId="4" fillId="0" borderId="17" xfId="0" applyNumberFormat="1" applyFont="1" applyFill="1" applyBorder="1" applyAlignment="1" applyProtection="1">
      <alignment horizontal="center" vertical="top" wrapText="1" readingOrder="1"/>
      <protection locked="0"/>
    </xf>
    <xf numFmtId="49" fontId="4" fillId="0" borderId="15" xfId="0" applyNumberFormat="1" applyFont="1" applyFill="1" applyBorder="1" applyAlignment="1" applyProtection="1">
      <alignment horizontal="center" vertical="top" wrapText="1" readingOrder="1"/>
      <protection locked="0"/>
    </xf>
    <xf numFmtId="164" fontId="7" fillId="0" borderId="1" xfId="0" applyNumberFormat="1" applyFont="1" applyFill="1" applyBorder="1" applyAlignment="1" applyProtection="1">
      <alignment vertical="top" wrapText="1" readingOrder="1"/>
      <protection locked="0"/>
    </xf>
    <xf numFmtId="0" fontId="7" fillId="0" borderId="1" xfId="0" applyFont="1" applyFill="1" applyBorder="1" applyAlignment="1" applyProtection="1">
      <alignment vertical="top" wrapText="1" readingOrder="1"/>
      <protection locked="0"/>
    </xf>
    <xf numFmtId="0" fontId="7" fillId="0" borderId="20" xfId="0" applyFont="1" applyFill="1" applyBorder="1" applyAlignment="1" applyProtection="1">
      <alignment vertical="top" wrapText="1" readingOrder="1"/>
      <protection locked="0"/>
    </xf>
    <xf numFmtId="0" fontId="7" fillId="0" borderId="15" xfId="0" applyFont="1" applyFill="1" applyBorder="1" applyAlignment="1" applyProtection="1">
      <alignment horizontal="center" vertical="top" wrapText="1" readingOrder="1"/>
      <protection locked="0"/>
    </xf>
    <xf numFmtId="0" fontId="4" fillId="0" borderId="2" xfId="0" applyFont="1" applyFill="1" applyBorder="1" applyAlignment="1" applyProtection="1">
      <alignment vertical="top" wrapText="1"/>
      <protection locked="0"/>
    </xf>
    <xf numFmtId="0" fontId="8" fillId="0" borderId="11" xfId="0" applyFont="1" applyFill="1" applyBorder="1" applyAlignment="1" applyProtection="1">
      <alignment vertical="top" wrapText="1" readingOrder="1"/>
      <protection locked="0"/>
    </xf>
    <xf numFmtId="49" fontId="8" fillId="0" borderId="11" xfId="0" applyNumberFormat="1" applyFont="1" applyFill="1" applyBorder="1" applyAlignment="1" applyProtection="1">
      <alignment horizontal="center" vertical="top" wrapText="1" readingOrder="1"/>
      <protection locked="0"/>
    </xf>
    <xf numFmtId="0" fontId="4" fillId="0" borderId="21" xfId="0" applyFont="1" applyFill="1" applyBorder="1" applyAlignment="1" applyProtection="1">
      <alignment horizontal="center" vertical="top" wrapText="1" readingOrder="1"/>
      <protection locked="0"/>
    </xf>
    <xf numFmtId="0" fontId="8" fillId="0" borderId="5" xfId="0" applyFont="1" applyFill="1" applyBorder="1" applyAlignment="1" applyProtection="1">
      <alignment vertical="top" wrapText="1" readingOrder="1"/>
      <protection locked="0"/>
    </xf>
    <xf numFmtId="166" fontId="8" fillId="0" borderId="5" xfId="0" applyNumberFormat="1" applyFont="1" applyFill="1" applyBorder="1" applyAlignment="1" applyProtection="1">
      <alignment vertical="top" wrapText="1" readingOrder="1"/>
      <protection locked="0"/>
    </xf>
    <xf numFmtId="49" fontId="8" fillId="0" borderId="5" xfId="0" applyNumberFormat="1" applyFont="1" applyFill="1" applyBorder="1" applyAlignment="1" applyProtection="1">
      <alignment horizontal="center" vertical="top" wrapText="1" readingOrder="1"/>
      <protection locked="0"/>
    </xf>
    <xf numFmtId="166" fontId="4" fillId="0" borderId="6" xfId="0" applyNumberFormat="1" applyFont="1" applyFill="1" applyBorder="1" applyAlignment="1" applyProtection="1">
      <alignment vertical="top" wrapText="1" readingOrder="1"/>
      <protection locked="0"/>
    </xf>
    <xf numFmtId="166" fontId="4" fillId="0" borderId="1" xfId="0" applyNumberFormat="1" applyFont="1" applyFill="1" applyBorder="1" applyAlignment="1" applyProtection="1">
      <alignment vertical="top" wrapText="1" readingOrder="1"/>
      <protection locked="0"/>
    </xf>
    <xf numFmtId="166" fontId="4" fillId="0" borderId="18" xfId="0" applyNumberFormat="1" applyFont="1" applyFill="1" applyBorder="1" applyAlignment="1" applyProtection="1">
      <alignment vertical="top" wrapText="1" readingOrder="1"/>
      <protection locked="0"/>
    </xf>
    <xf numFmtId="0" fontId="4" fillId="0" borderId="7" xfId="0" applyFont="1" applyFill="1" applyBorder="1" applyAlignment="1" applyProtection="1">
      <alignment vertical="top" wrapText="1"/>
      <protection locked="0"/>
    </xf>
    <xf numFmtId="0" fontId="7" fillId="0" borderId="10" xfId="0" applyFont="1" applyFill="1" applyBorder="1" applyAlignment="1" applyProtection="1">
      <alignment vertical="top" wrapText="1" readingOrder="1"/>
      <protection locked="0"/>
    </xf>
    <xf numFmtId="0" fontId="7" fillId="0" borderId="7" xfId="0" applyFont="1" applyFill="1" applyBorder="1" applyAlignment="1" applyProtection="1">
      <alignment vertical="top" wrapText="1" readingOrder="1"/>
      <protection locked="0"/>
    </xf>
    <xf numFmtId="164" fontId="7" fillId="0" borderId="7" xfId="0" applyNumberFormat="1" applyFont="1" applyFill="1" applyBorder="1" applyAlignment="1" applyProtection="1">
      <alignment vertical="top" wrapText="1" readingOrder="1"/>
      <protection locked="0"/>
    </xf>
    <xf numFmtId="0" fontId="4" fillId="0" borderId="20" xfId="0" applyFont="1" applyFill="1" applyBorder="1" applyAlignment="1" applyProtection="1">
      <alignment vertical="top" wrapText="1" readingOrder="1"/>
      <protection locked="0"/>
    </xf>
    <xf numFmtId="0" fontId="7" fillId="0" borderId="6" xfId="0" applyFont="1" applyFill="1" applyBorder="1" applyAlignment="1" applyProtection="1">
      <alignment vertical="top" wrapText="1" readingOrder="1"/>
      <protection locked="0"/>
    </xf>
    <xf numFmtId="164" fontId="7" fillId="0" borderId="6" xfId="0" applyNumberFormat="1" applyFont="1" applyFill="1" applyBorder="1" applyAlignment="1" applyProtection="1">
      <alignment vertical="top" wrapText="1" readingOrder="1"/>
      <protection locked="0"/>
    </xf>
    <xf numFmtId="164" fontId="7" fillId="0" borderId="5" xfId="0" applyNumberFormat="1" applyFont="1" applyFill="1" applyBorder="1" applyAlignment="1" applyProtection="1">
      <alignment vertical="top" wrapText="1" readingOrder="1"/>
      <protection locked="0"/>
    </xf>
    <xf numFmtId="0" fontId="4" fillId="0" borderId="5" xfId="0" applyFont="1" applyFill="1" applyBorder="1" applyAlignment="1" applyProtection="1">
      <alignment vertical="top" wrapText="1" readingOrder="1"/>
      <protection locked="0"/>
    </xf>
    <xf numFmtId="49" fontId="4" fillId="0" borderId="5" xfId="0" applyNumberFormat="1" applyFont="1" applyFill="1" applyBorder="1" applyAlignment="1" applyProtection="1">
      <alignment horizontal="center" vertical="top" wrapText="1" readingOrder="1"/>
      <protection locked="0"/>
    </xf>
    <xf numFmtId="0" fontId="4" fillId="0" borderId="6" xfId="0" applyFont="1" applyFill="1" applyBorder="1" applyAlignment="1" applyProtection="1">
      <alignment vertical="top" wrapText="1" readingOrder="1"/>
      <protection locked="0"/>
    </xf>
    <xf numFmtId="49" fontId="7" fillId="0" borderId="6" xfId="0" applyNumberFormat="1" applyFont="1" applyFill="1" applyBorder="1" applyAlignment="1" applyProtection="1">
      <alignment horizontal="center" vertical="top" wrapText="1" readingOrder="1"/>
      <protection locked="0"/>
    </xf>
    <xf numFmtId="0" fontId="7" fillId="0" borderId="4" xfId="0" applyFont="1" applyFill="1" applyBorder="1" applyAlignment="1" applyProtection="1">
      <alignment vertical="top" wrapText="1" readingOrder="1"/>
      <protection locked="0"/>
    </xf>
    <xf numFmtId="164" fontId="4" fillId="0" borderId="5" xfId="0" applyNumberFormat="1" applyFont="1" applyFill="1" applyBorder="1" applyAlignment="1" applyProtection="1">
      <alignment vertical="top" wrapText="1" readingOrder="1"/>
      <protection locked="0"/>
    </xf>
    <xf numFmtId="0" fontId="4" fillId="0" borderId="4" xfId="0" applyFont="1" applyFill="1" applyBorder="1" applyAlignment="1" applyProtection="1">
      <alignment vertical="top" wrapText="1" readingOrder="1"/>
      <protection locked="0"/>
    </xf>
    <xf numFmtId="166" fontId="4" fillId="0" borderId="4" xfId="0" applyNumberFormat="1" applyFont="1" applyFill="1" applyBorder="1" applyAlignment="1" applyProtection="1">
      <alignment vertical="top" wrapText="1" readingOrder="1"/>
      <protection locked="0"/>
    </xf>
    <xf numFmtId="0" fontId="4" fillId="0" borderId="3" xfId="0" applyFont="1" applyFill="1" applyBorder="1" applyAlignment="1" applyProtection="1">
      <alignment vertical="top" wrapText="1" readingOrder="1"/>
      <protection locked="0"/>
    </xf>
    <xf numFmtId="0" fontId="8" fillId="0" borderId="7" xfId="0" applyFont="1" applyFill="1" applyBorder="1" applyAlignment="1" applyProtection="1">
      <alignment horizontal="center" vertical="top" wrapText="1" readingOrder="1"/>
      <protection locked="0"/>
    </xf>
    <xf numFmtId="166" fontId="4" fillId="0" borderId="5" xfId="0" applyNumberFormat="1" applyFont="1" applyFill="1" applyBorder="1" applyAlignment="1" applyProtection="1">
      <alignment vertical="top" wrapText="1" readingOrder="1"/>
      <protection locked="0"/>
    </xf>
    <xf numFmtId="0" fontId="3" fillId="0" borderId="7" xfId="0" applyNumberFormat="1" applyFont="1" applyFill="1" applyBorder="1" applyAlignment="1" applyProtection="1">
      <alignment horizontal="center" vertical="center" wrapText="1" shrinkToFit="1"/>
      <protection locked="0"/>
    </xf>
    <xf numFmtId="0" fontId="2" fillId="0" borderId="0" xfId="0" applyFont="1" applyFill="1" applyBorder="1"/>
    <xf numFmtId="0" fontId="4" fillId="0" borderId="0" xfId="0" applyFont="1" applyFill="1" applyBorder="1"/>
    <xf numFmtId="0" fontId="7" fillId="0" borderId="0" xfId="0" applyFont="1" applyFill="1" applyBorder="1"/>
    <xf numFmtId="0" fontId="8" fillId="0" borderId="0" xfId="0" applyFont="1" applyFill="1" applyBorder="1"/>
    <xf numFmtId="166" fontId="4" fillId="0" borderId="2" xfId="0" applyNumberFormat="1" applyFont="1" applyFill="1" applyBorder="1" applyAlignment="1" applyProtection="1">
      <alignment vertical="top" wrapText="1" readingOrder="1"/>
      <protection locked="0"/>
    </xf>
    <xf numFmtId="0" fontId="8" fillId="0" borderId="22" xfId="0" applyNumberFormat="1" applyFont="1" applyFill="1" applyBorder="1" applyAlignment="1" applyProtection="1">
      <alignment horizontal="center" vertical="center" wrapText="1" shrinkToFit="1"/>
      <protection locked="0"/>
    </xf>
    <xf numFmtId="0" fontId="8" fillId="0" borderId="5" xfId="0" applyFont="1" applyFill="1" applyBorder="1" applyAlignment="1" applyProtection="1">
      <alignment horizontal="center" vertical="top" wrapText="1" readingOrder="1"/>
      <protection locked="0"/>
    </xf>
    <xf numFmtId="0" fontId="8" fillId="0" borderId="11" xfId="1" applyNumberFormat="1" applyFont="1" applyFill="1" applyBorder="1" applyAlignment="1">
      <alignment horizontal="center" vertical="center" wrapText="1"/>
    </xf>
    <xf numFmtId="0" fontId="8" fillId="0" borderId="11" xfId="0" applyNumberFormat="1" applyFont="1" applyFill="1" applyBorder="1" applyAlignment="1" applyProtection="1">
      <alignment horizontal="center" vertical="center" wrapText="1" shrinkToFit="1"/>
      <protection locked="0"/>
    </xf>
    <xf numFmtId="0" fontId="8" fillId="0" borderId="20" xfId="0" applyNumberFormat="1" applyFont="1" applyFill="1" applyBorder="1" applyAlignment="1" applyProtection="1">
      <alignment horizontal="center" vertical="center" wrapText="1" shrinkToFit="1"/>
      <protection locked="0"/>
    </xf>
    <xf numFmtId="0" fontId="8" fillId="0" borderId="6" xfId="0" applyFont="1" applyFill="1" applyBorder="1" applyAlignment="1" applyProtection="1">
      <alignment horizontal="center" vertical="top" wrapText="1" readingOrder="1"/>
      <protection locked="0"/>
    </xf>
    <xf numFmtId="0" fontId="8" fillId="0" borderId="5" xfId="1" applyNumberFormat="1" applyFont="1" applyFill="1" applyBorder="1" applyAlignment="1">
      <alignment horizontal="center" vertical="center" wrapText="1"/>
    </xf>
    <xf numFmtId="166" fontId="4" fillId="0" borderId="14" xfId="0" applyNumberFormat="1" applyFont="1" applyFill="1" applyBorder="1" applyAlignment="1" applyProtection="1">
      <alignment vertical="top" wrapText="1" readingOrder="1"/>
      <protection locked="0"/>
    </xf>
    <xf numFmtId="49" fontId="12" fillId="0" borderId="5" xfId="0" applyNumberFormat="1" applyFont="1" applyFill="1" applyBorder="1" applyAlignment="1">
      <alignment horizontal="left" vertical="center"/>
    </xf>
    <xf numFmtId="49" fontId="0" fillId="0" borderId="0" xfId="0" applyNumberFormat="1" applyFill="1" applyAlignment="1">
      <alignment horizontal="center" vertical="center"/>
    </xf>
    <xf numFmtId="49" fontId="12" fillId="0" borderId="5" xfId="0" applyNumberFormat="1" applyFont="1" applyFill="1" applyBorder="1" applyAlignment="1">
      <alignment horizontal="left"/>
    </xf>
    <xf numFmtId="0" fontId="1" fillId="0" borderId="0" xfId="0" applyFont="1" applyFill="1"/>
    <xf numFmtId="49" fontId="0" fillId="0" borderId="0" xfId="0" applyNumberFormat="1" applyFill="1" applyAlignment="1">
      <alignment horizontal="left"/>
    </xf>
    <xf numFmtId="49" fontId="0" fillId="0" borderId="0" xfId="0" applyNumberFormat="1" applyFill="1"/>
    <xf numFmtId="166" fontId="14" fillId="0" borderId="0" xfId="0" applyNumberFormat="1" applyFont="1" applyFill="1"/>
    <xf numFmtId="4" fontId="14" fillId="0" borderId="0" xfId="0" applyNumberFormat="1" applyFont="1" applyFill="1"/>
    <xf numFmtId="4" fontId="13" fillId="0" borderId="0" xfId="0" applyNumberFormat="1" applyFont="1" applyFill="1"/>
    <xf numFmtId="14" fontId="3" fillId="0" borderId="7" xfId="0" applyNumberFormat="1" applyFont="1" applyFill="1" applyBorder="1" applyAlignment="1" applyProtection="1">
      <alignment horizontal="center" vertical="center" wrapText="1" shrinkToFit="1"/>
      <protection locked="0"/>
    </xf>
    <xf numFmtId="0" fontId="4" fillId="0" borderId="11" xfId="0" applyNumberFormat="1" applyFont="1" applyFill="1" applyBorder="1" applyAlignment="1" applyProtection="1">
      <alignment horizontal="center" vertical="top" wrapText="1" shrinkToFit="1"/>
      <protection locked="0"/>
    </xf>
    <xf numFmtId="49" fontId="4" fillId="0" borderId="24" xfId="0" applyNumberFormat="1" applyFont="1" applyFill="1" applyBorder="1" applyAlignment="1" applyProtection="1">
      <alignment horizontal="center" vertical="top" wrapText="1" readingOrder="1"/>
      <protection locked="0"/>
    </xf>
    <xf numFmtId="166" fontId="4" fillId="0" borderId="10" xfId="0" applyNumberFormat="1" applyFont="1" applyFill="1" applyBorder="1" applyAlignment="1" applyProtection="1">
      <alignment vertical="top" wrapText="1" readingOrder="1"/>
      <protection locked="0"/>
    </xf>
    <xf numFmtId="0" fontId="4" fillId="0" borderId="22" xfId="0" applyFont="1" applyFill="1" applyBorder="1" applyAlignment="1" applyProtection="1">
      <alignment horizontal="center" vertical="top" wrapText="1" readingOrder="1"/>
      <protection locked="0"/>
    </xf>
    <xf numFmtId="49" fontId="4" fillId="0" borderId="25" xfId="0" applyNumberFormat="1" applyFont="1" applyFill="1" applyBorder="1" applyAlignment="1" applyProtection="1">
      <alignment horizontal="center" vertical="top" wrapText="1" readingOrder="1"/>
      <protection locked="0"/>
    </xf>
    <xf numFmtId="0" fontId="4" fillId="0" borderId="26" xfId="0" applyFont="1" applyFill="1" applyBorder="1" applyAlignment="1" applyProtection="1">
      <alignment horizontal="center" vertical="top" wrapText="1" readingOrder="1"/>
      <protection locked="0"/>
    </xf>
    <xf numFmtId="0" fontId="4" fillId="0" borderId="9" xfId="0" applyFont="1" applyFill="1" applyBorder="1" applyAlignment="1" applyProtection="1">
      <alignment horizontal="center" vertical="top" wrapText="1" readingOrder="1"/>
      <protection locked="0"/>
    </xf>
    <xf numFmtId="0" fontId="7" fillId="0" borderId="27" xfId="0" applyFont="1" applyFill="1" applyBorder="1" applyAlignment="1" applyProtection="1">
      <alignment horizontal="center" vertical="top" wrapText="1" readingOrder="1"/>
      <protection locked="0"/>
    </xf>
    <xf numFmtId="49" fontId="8" fillId="0" borderId="27" xfId="0" applyNumberFormat="1" applyFont="1" applyFill="1" applyBorder="1" applyAlignment="1" applyProtection="1">
      <alignment horizontal="center" vertical="top" wrapText="1" readingOrder="1"/>
      <protection locked="0"/>
    </xf>
    <xf numFmtId="0" fontId="8" fillId="0" borderId="29" xfId="0" applyFont="1" applyFill="1" applyBorder="1" applyAlignment="1" applyProtection="1">
      <alignment horizontal="center" vertical="top" wrapText="1" readingOrder="1"/>
      <protection locked="0"/>
    </xf>
    <xf numFmtId="49" fontId="4" fillId="0" borderId="16" xfId="0" applyNumberFormat="1" applyFont="1" applyFill="1" applyBorder="1" applyAlignment="1" applyProtection="1">
      <alignment horizontal="center" vertical="top" wrapText="1" readingOrder="1"/>
      <protection locked="0"/>
    </xf>
    <xf numFmtId="49" fontId="4" fillId="0" borderId="28" xfId="0" applyNumberFormat="1" applyFont="1" applyFill="1" applyBorder="1" applyAlignment="1" applyProtection="1">
      <alignment horizontal="center" vertical="top" wrapText="1" readingOrder="1"/>
      <protection locked="0"/>
    </xf>
    <xf numFmtId="0" fontId="7" fillId="0" borderId="9" xfId="0" applyFont="1" applyFill="1" applyBorder="1" applyAlignment="1" applyProtection="1">
      <alignment horizontal="center" vertical="top" wrapText="1" readingOrder="1"/>
      <protection locked="0"/>
    </xf>
    <xf numFmtId="0" fontId="7" fillId="0" borderId="30" xfId="0" applyFont="1" applyFill="1" applyBorder="1" applyAlignment="1" applyProtection="1">
      <alignment horizontal="center" vertical="top" wrapText="1" readingOrder="1"/>
      <protection locked="0"/>
    </xf>
    <xf numFmtId="49" fontId="8" fillId="0" borderId="20" xfId="0" applyNumberFormat="1" applyFont="1" applyFill="1" applyBorder="1" applyAlignment="1" applyProtection="1">
      <alignment horizontal="center" vertical="top" wrapText="1" readingOrder="1"/>
      <protection locked="0"/>
    </xf>
    <xf numFmtId="49" fontId="4" fillId="0" borderId="9" xfId="0" applyNumberFormat="1" applyFont="1" applyFill="1" applyBorder="1" applyAlignment="1" applyProtection="1">
      <alignment horizontal="center" vertical="top" wrapText="1" readingOrder="1"/>
      <protection locked="0"/>
    </xf>
    <xf numFmtId="49" fontId="4" fillId="0" borderId="26" xfId="0" applyNumberFormat="1" applyFont="1" applyFill="1" applyBorder="1" applyAlignment="1" applyProtection="1">
      <alignment horizontal="center" vertical="top" wrapText="1" readingOrder="1"/>
      <protection locked="0"/>
    </xf>
    <xf numFmtId="49" fontId="4" fillId="0" borderId="20" xfId="0" applyNumberFormat="1" applyFont="1" applyFill="1" applyBorder="1" applyAlignment="1" applyProtection="1">
      <alignment horizontal="center" vertical="top" wrapText="1" readingOrder="1"/>
      <protection locked="0"/>
    </xf>
    <xf numFmtId="49" fontId="4" fillId="0" borderId="31" xfId="0" applyNumberFormat="1" applyFont="1" applyFill="1" applyBorder="1" applyAlignment="1" applyProtection="1">
      <alignment horizontal="center" vertical="top" wrapText="1" readingOrder="1"/>
      <protection locked="0"/>
    </xf>
    <xf numFmtId="49" fontId="4" fillId="0" borderId="27" xfId="0" applyNumberFormat="1" applyFont="1" applyFill="1" applyBorder="1" applyAlignment="1" applyProtection="1">
      <alignment horizontal="center" vertical="top" wrapText="1" readingOrder="1"/>
      <protection locked="0"/>
    </xf>
    <xf numFmtId="49" fontId="7" fillId="0" borderId="28" xfId="0" applyNumberFormat="1" applyFont="1" applyFill="1" applyBorder="1" applyAlignment="1" applyProtection="1">
      <alignment horizontal="center" vertical="top" wrapText="1" readingOrder="1"/>
      <protection locked="0"/>
    </xf>
    <xf numFmtId="0" fontId="7" fillId="0" borderId="26" xfId="0" applyFont="1" applyFill="1" applyBorder="1" applyAlignment="1" applyProtection="1">
      <alignment horizontal="center" vertical="top" wrapText="1" readingOrder="1"/>
      <protection locked="0"/>
    </xf>
    <xf numFmtId="49" fontId="7" fillId="0" borderId="20" xfId="0" applyNumberFormat="1" applyFont="1" applyFill="1" applyBorder="1" applyAlignment="1" applyProtection="1">
      <alignment horizontal="center" vertical="top" wrapText="1" readingOrder="1"/>
      <protection locked="0"/>
    </xf>
    <xf numFmtId="0" fontId="7" fillId="0" borderId="28" xfId="0" applyFont="1" applyFill="1" applyBorder="1" applyAlignment="1" applyProtection="1">
      <alignment horizontal="center" vertical="top" wrapText="1" readingOrder="1"/>
      <protection locked="0"/>
    </xf>
    <xf numFmtId="165" fontId="7" fillId="0" borderId="14" xfId="0" applyNumberFormat="1" applyFont="1" applyFill="1" applyBorder="1" applyAlignment="1" applyProtection="1">
      <alignment vertical="top" wrapText="1" readingOrder="1"/>
      <protection locked="0"/>
    </xf>
    <xf numFmtId="164" fontId="7" fillId="0" borderId="14" xfId="0" applyNumberFormat="1" applyFont="1" applyFill="1" applyBorder="1" applyAlignment="1" applyProtection="1">
      <alignment vertical="top" wrapText="1" readingOrder="1"/>
      <protection locked="0"/>
    </xf>
    <xf numFmtId="166" fontId="8" fillId="0" borderId="14" xfId="0" applyNumberFormat="1" applyFont="1" applyFill="1" applyBorder="1" applyAlignment="1" applyProtection="1">
      <alignment vertical="top" wrapText="1" readingOrder="1"/>
      <protection locked="0"/>
    </xf>
    <xf numFmtId="165" fontId="4" fillId="0" borderId="14" xfId="0" applyNumberFormat="1" applyFont="1" applyFill="1" applyBorder="1" applyAlignment="1" applyProtection="1">
      <alignment vertical="top" wrapText="1" readingOrder="1"/>
      <protection locked="0"/>
    </xf>
    <xf numFmtId="165" fontId="4" fillId="0" borderId="1" xfId="0" applyNumberFormat="1" applyFont="1" applyFill="1" applyBorder="1" applyAlignment="1" applyProtection="1">
      <alignment vertical="top" wrapText="1" readingOrder="1"/>
      <protection locked="0"/>
    </xf>
    <xf numFmtId="164" fontId="7" fillId="0" borderId="12" xfId="0" applyNumberFormat="1" applyFont="1" applyFill="1" applyBorder="1" applyAlignment="1" applyProtection="1">
      <alignment vertical="top" wrapText="1" readingOrder="1"/>
      <protection locked="0"/>
    </xf>
    <xf numFmtId="164" fontId="4" fillId="0" borderId="12" xfId="0" applyNumberFormat="1" applyFont="1" applyFill="1" applyBorder="1" applyAlignment="1" applyProtection="1">
      <alignment vertical="top" wrapText="1" readingOrder="1"/>
      <protection locked="0"/>
    </xf>
    <xf numFmtId="164" fontId="4" fillId="0" borderId="10" xfId="0" applyNumberFormat="1" applyFont="1" applyFill="1" applyBorder="1" applyAlignment="1" applyProtection="1">
      <alignment vertical="top" wrapText="1" readingOrder="1"/>
      <protection locked="0"/>
    </xf>
    <xf numFmtId="164" fontId="7" fillId="0" borderId="10" xfId="0" applyNumberFormat="1" applyFont="1" applyFill="1" applyBorder="1" applyAlignment="1" applyProtection="1">
      <alignment vertical="top" wrapText="1" readingOrder="1"/>
      <protection locked="0"/>
    </xf>
    <xf numFmtId="164" fontId="4" fillId="0" borderId="34" xfId="0" applyNumberFormat="1" applyFont="1" applyFill="1" applyBorder="1" applyAlignment="1" applyProtection="1">
      <alignment vertical="top" wrapText="1" readingOrder="1"/>
      <protection locked="0"/>
    </xf>
    <xf numFmtId="0" fontId="4" fillId="0" borderId="12" xfId="0" applyFont="1" applyFill="1" applyBorder="1" applyAlignment="1" applyProtection="1">
      <alignment vertical="top" wrapText="1" readingOrder="1"/>
      <protection locked="0"/>
    </xf>
    <xf numFmtId="164" fontId="7" fillId="0" borderId="34" xfId="0" applyNumberFormat="1" applyFont="1" applyFill="1" applyBorder="1" applyAlignment="1" applyProtection="1">
      <alignment vertical="top" wrapText="1" readingOrder="1"/>
      <protection locked="0"/>
    </xf>
    <xf numFmtId="49" fontId="7" fillId="0" borderId="3" xfId="0" applyNumberFormat="1" applyFont="1" applyFill="1" applyBorder="1" applyAlignment="1" applyProtection="1">
      <alignment horizontal="center" vertical="top" wrapText="1" readingOrder="1"/>
      <protection locked="0"/>
    </xf>
    <xf numFmtId="49" fontId="8" fillId="0" borderId="3" xfId="0" applyNumberFormat="1" applyFont="1" applyFill="1" applyBorder="1" applyAlignment="1" applyProtection="1">
      <alignment horizontal="center" vertical="top" wrapText="1" readingOrder="1"/>
      <protection locked="0"/>
    </xf>
    <xf numFmtId="0" fontId="4" fillId="0" borderId="5" xfId="1" applyNumberFormat="1" applyFont="1" applyFill="1" applyBorder="1" applyAlignment="1">
      <alignment horizontal="center" vertical="center" wrapText="1"/>
    </xf>
    <xf numFmtId="0" fontId="7" fillId="0" borderId="12" xfId="0" applyFont="1" applyFill="1" applyBorder="1" applyAlignment="1" applyProtection="1">
      <alignment vertical="top" wrapText="1" readingOrder="1"/>
      <protection locked="0"/>
    </xf>
    <xf numFmtId="0" fontId="6" fillId="0" borderId="18" xfId="0" applyNumberFormat="1" applyFont="1" applyFill="1" applyBorder="1" applyAlignment="1" applyProtection="1">
      <alignment horizontal="center" vertical="top" wrapText="1" shrinkToFit="1"/>
      <protection locked="0"/>
    </xf>
    <xf numFmtId="0" fontId="3" fillId="0" borderId="2" xfId="0" applyNumberFormat="1" applyFont="1" applyFill="1" applyBorder="1" applyAlignment="1" applyProtection="1">
      <alignment vertical="top" wrapText="1" shrinkToFit="1"/>
      <protection locked="0"/>
    </xf>
    <xf numFmtId="0" fontId="4" fillId="0" borderId="14" xfId="0" applyNumberFormat="1" applyFont="1" applyFill="1" applyBorder="1" applyAlignment="1" applyProtection="1">
      <alignment horizontal="center" vertical="top" wrapText="1" shrinkToFit="1"/>
      <protection locked="0"/>
    </xf>
    <xf numFmtId="14" fontId="4" fillId="0" borderId="21" xfId="0" applyNumberFormat="1" applyFont="1" applyFill="1" applyBorder="1" applyAlignment="1" applyProtection="1">
      <alignment horizontal="center" vertical="top" wrapText="1" shrinkToFit="1"/>
      <protection locked="0"/>
    </xf>
    <xf numFmtId="14" fontId="3" fillId="0" borderId="5" xfId="0" applyNumberFormat="1" applyFont="1" applyFill="1" applyBorder="1" applyAlignment="1" applyProtection="1">
      <alignment horizontal="center" vertical="top" wrapText="1" shrinkToFit="1"/>
      <protection locked="0"/>
    </xf>
    <xf numFmtId="14" fontId="3" fillId="0" borderId="35" xfId="0" applyNumberFormat="1" applyFont="1" applyFill="1" applyBorder="1" applyAlignment="1" applyProtection="1">
      <alignment horizontal="center" vertical="top" wrapText="1" shrinkToFit="1"/>
      <protection locked="0"/>
    </xf>
    <xf numFmtId="14" fontId="4" fillId="0" borderId="11" xfId="0" applyNumberFormat="1" applyFont="1" applyFill="1" applyBorder="1" applyAlignment="1" applyProtection="1">
      <alignment horizontal="center" vertical="top" wrapText="1" shrinkToFit="1"/>
      <protection locked="0"/>
    </xf>
    <xf numFmtId="0" fontId="4" fillId="0" borderId="1" xfId="1" applyNumberFormat="1" applyFont="1" applyFill="1" applyBorder="1" applyAlignment="1">
      <alignment horizontal="center" vertical="top" wrapText="1"/>
    </xf>
    <xf numFmtId="14" fontId="4" fillId="0" borderId="5" xfId="0" applyNumberFormat="1" applyFont="1" applyFill="1" applyBorder="1" applyAlignment="1" applyProtection="1">
      <alignment vertical="top" wrapText="1" readingOrder="1"/>
      <protection locked="0"/>
    </xf>
    <xf numFmtId="0" fontId="7" fillId="0" borderId="3" xfId="0" applyFont="1" applyFill="1" applyBorder="1" applyAlignment="1" applyProtection="1">
      <alignment vertical="top" wrapText="1"/>
      <protection locked="0"/>
    </xf>
    <xf numFmtId="14" fontId="4" fillId="0" borderId="7" xfId="0" applyNumberFormat="1" applyFont="1" applyFill="1" applyBorder="1" applyAlignment="1" applyProtection="1">
      <alignment horizontal="center" vertical="top" wrapText="1" shrinkToFit="1"/>
      <protection locked="0"/>
    </xf>
    <xf numFmtId="0" fontId="9" fillId="0" borderId="5" xfId="0" applyNumberFormat="1" applyFont="1" applyFill="1" applyBorder="1" applyAlignment="1" applyProtection="1">
      <alignment vertical="center" wrapText="1" shrinkToFit="1"/>
      <protection locked="0"/>
    </xf>
    <xf numFmtId="0" fontId="18" fillId="0" borderId="5" xfId="0" applyNumberFormat="1" applyFont="1" applyFill="1" applyBorder="1" applyAlignment="1" applyProtection="1">
      <alignment vertical="center" wrapText="1" shrinkToFit="1"/>
      <protection locked="0"/>
    </xf>
    <xf numFmtId="49" fontId="17" fillId="0" borderId="5" xfId="0" applyNumberFormat="1" applyFont="1" applyFill="1" applyBorder="1" applyAlignment="1" applyProtection="1">
      <alignment horizontal="center" vertical="top" wrapText="1" readingOrder="1"/>
      <protection locked="0"/>
    </xf>
    <xf numFmtId="164" fontId="17" fillId="0" borderId="5" xfId="0" applyNumberFormat="1" applyFont="1" applyFill="1" applyBorder="1" applyAlignment="1" applyProtection="1">
      <alignment vertical="top" wrapText="1" readingOrder="1"/>
      <protection locked="0"/>
    </xf>
    <xf numFmtId="0" fontId="17" fillId="0" borderId="0" xfId="0" applyFont="1" applyFill="1" applyBorder="1"/>
    <xf numFmtId="49" fontId="17" fillId="0" borderId="4" xfId="0" applyNumberFormat="1" applyFont="1" applyFill="1" applyBorder="1" applyAlignment="1" applyProtection="1">
      <alignment horizontal="center" vertical="top" wrapText="1" readingOrder="1"/>
      <protection locked="0"/>
    </xf>
    <xf numFmtId="0" fontId="7" fillId="0" borderId="25" xfId="0" applyFont="1" applyFill="1" applyBorder="1" applyAlignment="1" applyProtection="1">
      <alignment horizontal="center" vertical="center" wrapText="1"/>
      <protection locked="0"/>
    </xf>
    <xf numFmtId="0" fontId="6" fillId="0" borderId="20" xfId="0" applyNumberFormat="1" applyFont="1" applyFill="1" applyBorder="1" applyAlignment="1" applyProtection="1">
      <alignment horizontal="center" vertical="top" wrapText="1" shrinkToFit="1" readingOrder="1"/>
      <protection locked="0"/>
    </xf>
    <xf numFmtId="0" fontId="3" fillId="0" borderId="5" xfId="1" applyNumberFormat="1" applyFont="1" applyFill="1" applyBorder="1" applyAlignment="1">
      <alignment horizontal="center" vertical="top" wrapText="1" readingOrder="1"/>
    </xf>
    <xf numFmtId="167" fontId="12" fillId="0" borderId="5" xfId="0" applyNumberFormat="1" applyFont="1" applyFill="1" applyBorder="1"/>
    <xf numFmtId="0" fontId="4" fillId="0" borderId="36" xfId="0" applyFont="1" applyFill="1" applyBorder="1" applyAlignment="1" applyProtection="1">
      <alignment horizontal="center" vertical="top" wrapText="1" readingOrder="1"/>
      <protection locked="0"/>
    </xf>
    <xf numFmtId="0" fontId="7" fillId="0" borderId="5" xfId="0" applyNumberFormat="1" applyFont="1" applyFill="1" applyBorder="1" applyAlignment="1" applyProtection="1">
      <alignment horizontal="center" vertical="top" wrapText="1" shrinkToFit="1"/>
      <protection locked="0"/>
    </xf>
    <xf numFmtId="164" fontId="8" fillId="0" borderId="32" xfId="0" applyNumberFormat="1" applyFont="1" applyFill="1" applyBorder="1" applyAlignment="1" applyProtection="1">
      <alignment vertical="top" wrapText="1" readingOrder="1"/>
      <protection locked="0"/>
    </xf>
    <xf numFmtId="164" fontId="8" fillId="0" borderId="14" xfId="0" applyNumberFormat="1" applyFont="1" applyFill="1" applyBorder="1" applyAlignment="1" applyProtection="1">
      <alignment vertical="top" wrapText="1" readingOrder="1"/>
      <protection locked="0"/>
    </xf>
    <xf numFmtId="164" fontId="8" fillId="0" borderId="5" xfId="0" applyNumberFormat="1" applyFont="1" applyFill="1" applyBorder="1" applyAlignment="1" applyProtection="1">
      <alignment vertical="top" wrapText="1" readingOrder="1"/>
      <protection locked="0"/>
    </xf>
    <xf numFmtId="0" fontId="7" fillId="0" borderId="3" xfId="0" applyFont="1" applyFill="1" applyBorder="1" applyAlignment="1" applyProtection="1">
      <alignment horizontal="left" vertical="top" wrapText="1" readingOrder="1"/>
      <protection locked="0"/>
    </xf>
    <xf numFmtId="0" fontId="4" fillId="0" borderId="3" xfId="0" applyNumberFormat="1" applyFont="1" applyFill="1" applyBorder="1" applyAlignment="1" applyProtection="1">
      <alignment horizontal="center" vertical="top" wrapText="1" shrinkToFit="1"/>
      <protection locked="0"/>
    </xf>
    <xf numFmtId="14" fontId="4" fillId="0" borderId="3" xfId="0" applyNumberFormat="1" applyFont="1" applyFill="1" applyBorder="1" applyAlignment="1" applyProtection="1">
      <alignment horizontal="center" vertical="top" wrapText="1" shrinkToFit="1"/>
      <protection locked="0"/>
    </xf>
    <xf numFmtId="49" fontId="4" fillId="0" borderId="3" xfId="0" applyNumberFormat="1" applyFont="1" applyFill="1" applyBorder="1" applyAlignment="1" applyProtection="1">
      <alignment horizontal="center" vertical="top" wrapText="1" readingOrder="1"/>
      <protection locked="0"/>
    </xf>
    <xf numFmtId="166" fontId="4" fillId="0" borderId="3" xfId="0" applyNumberFormat="1" applyFont="1" applyFill="1" applyBorder="1" applyAlignment="1" applyProtection="1">
      <alignment vertical="top" wrapText="1" readingOrder="1"/>
      <protection locked="0"/>
    </xf>
    <xf numFmtId="49" fontId="4" fillId="0" borderId="39" xfId="0" applyNumberFormat="1" applyFont="1" applyFill="1" applyBorder="1" applyAlignment="1" applyProtection="1">
      <alignment horizontal="center" vertical="top" wrapText="1" readingOrder="1"/>
      <protection locked="0"/>
    </xf>
    <xf numFmtId="49" fontId="4" fillId="0" borderId="40" xfId="0" applyNumberFormat="1" applyFont="1" applyFill="1" applyBorder="1" applyAlignment="1" applyProtection="1">
      <alignment horizontal="center" vertical="top" wrapText="1" readingOrder="1"/>
      <protection locked="0"/>
    </xf>
    <xf numFmtId="49" fontId="4" fillId="0" borderId="18" xfId="0" applyNumberFormat="1" applyFont="1" applyFill="1" applyBorder="1" applyAlignment="1" applyProtection="1">
      <alignment horizontal="center" vertical="top" wrapText="1" readingOrder="1"/>
      <protection locked="0"/>
    </xf>
    <xf numFmtId="49" fontId="4" fillId="0" borderId="30" xfId="0" applyNumberFormat="1" applyFont="1" applyFill="1" applyBorder="1" applyAlignment="1" applyProtection="1">
      <alignment horizontal="center" vertical="top" wrapText="1" readingOrder="1"/>
      <protection locked="0"/>
    </xf>
    <xf numFmtId="49" fontId="4" fillId="0" borderId="21" xfId="0" applyNumberFormat="1" applyFont="1" applyFill="1" applyBorder="1" applyAlignment="1" applyProtection="1">
      <alignment horizontal="center" vertical="top" wrapText="1" readingOrder="1"/>
      <protection locked="0"/>
    </xf>
    <xf numFmtId="166" fontId="7" fillId="0" borderId="3" xfId="0" applyNumberFormat="1" applyFont="1" applyFill="1" applyBorder="1" applyAlignment="1" applyProtection="1">
      <alignment vertical="top" wrapText="1" readingOrder="1"/>
      <protection locked="0"/>
    </xf>
    <xf numFmtId="164" fontId="7" fillId="0" borderId="3" xfId="0" applyNumberFormat="1" applyFont="1" applyFill="1" applyBorder="1" applyAlignment="1" applyProtection="1">
      <alignment vertical="top" wrapText="1" readingOrder="1"/>
      <protection locked="0"/>
    </xf>
    <xf numFmtId="164" fontId="4" fillId="0" borderId="3" xfId="0" applyNumberFormat="1" applyFont="1" applyFill="1" applyBorder="1" applyAlignment="1" applyProtection="1">
      <alignment vertical="top" wrapText="1" readingOrder="1"/>
      <protection locked="0"/>
    </xf>
    <xf numFmtId="14" fontId="4" fillId="0" borderId="11" xfId="0" applyNumberFormat="1" applyFont="1" applyFill="1" applyBorder="1" applyAlignment="1" applyProtection="1">
      <alignment horizontal="center" vertical="center" wrapText="1" shrinkToFit="1"/>
      <protection locked="0"/>
    </xf>
    <xf numFmtId="165" fontId="7" fillId="0" borderId="1" xfId="0" applyNumberFormat="1" applyFont="1" applyFill="1" applyBorder="1" applyAlignment="1" applyProtection="1">
      <alignment vertical="top" wrapText="1" readingOrder="1"/>
      <protection locked="0"/>
    </xf>
    <xf numFmtId="14" fontId="3" fillId="0" borderId="3" xfId="0" applyNumberFormat="1" applyFont="1" applyFill="1" applyBorder="1" applyAlignment="1" applyProtection="1">
      <alignment horizontal="center" vertical="center" wrapText="1" shrinkToFit="1"/>
      <protection locked="0"/>
    </xf>
    <xf numFmtId="165" fontId="7" fillId="0" borderId="3" xfId="0" applyNumberFormat="1" applyFont="1" applyFill="1" applyBorder="1" applyAlignment="1" applyProtection="1">
      <alignment vertical="top" wrapText="1" readingOrder="1"/>
      <protection locked="0"/>
    </xf>
    <xf numFmtId="0" fontId="3" fillId="0" borderId="11" xfId="0" applyNumberFormat="1" applyFont="1" applyFill="1" applyBorder="1" applyAlignment="1" applyProtection="1">
      <alignment horizontal="center" vertical="center" wrapText="1" shrinkToFit="1"/>
      <protection locked="0"/>
    </xf>
    <xf numFmtId="14" fontId="3" fillId="0" borderId="11" xfId="0" applyNumberFormat="1" applyFont="1" applyFill="1" applyBorder="1" applyAlignment="1" applyProtection="1">
      <alignment horizontal="center" vertical="center" wrapText="1" shrinkToFit="1"/>
      <protection locked="0"/>
    </xf>
    <xf numFmtId="165" fontId="7" fillId="0" borderId="11" xfId="0" applyNumberFormat="1" applyFont="1" applyFill="1" applyBorder="1" applyAlignment="1" applyProtection="1">
      <alignment vertical="top" wrapText="1" readingOrder="1"/>
      <protection locked="0"/>
    </xf>
    <xf numFmtId="0" fontId="9" fillId="0" borderId="3" xfId="0" applyNumberFormat="1" applyFont="1" applyFill="1" applyBorder="1" applyAlignment="1" applyProtection="1">
      <alignment horizontal="center" vertical="top" wrapText="1" shrinkToFit="1"/>
      <protection locked="0"/>
    </xf>
    <xf numFmtId="0" fontId="7" fillId="0" borderId="3" xfId="0" applyNumberFormat="1" applyFont="1" applyFill="1" applyBorder="1" applyAlignment="1" applyProtection="1">
      <alignment horizontal="center" vertical="top" wrapText="1" shrinkToFit="1"/>
      <protection locked="0"/>
    </xf>
    <xf numFmtId="14" fontId="7" fillId="0" borderId="3" xfId="0" applyNumberFormat="1" applyFont="1" applyFill="1" applyBorder="1" applyAlignment="1" applyProtection="1">
      <alignment horizontal="center" vertical="top" wrapText="1" shrinkToFit="1"/>
      <protection locked="0"/>
    </xf>
    <xf numFmtId="0" fontId="9" fillId="0" borderId="11" xfId="0" applyNumberFormat="1" applyFont="1" applyFill="1" applyBorder="1" applyAlignment="1" applyProtection="1">
      <alignment horizontal="center" vertical="top" wrapText="1" shrinkToFit="1"/>
      <protection locked="0"/>
    </xf>
    <xf numFmtId="0" fontId="7" fillId="0" borderId="20" xfId="0" applyNumberFormat="1" applyFont="1" applyFill="1" applyBorder="1" applyAlignment="1" applyProtection="1">
      <alignment horizontal="center" vertical="top" wrapText="1" shrinkToFit="1"/>
      <protection locked="0"/>
    </xf>
    <xf numFmtId="14" fontId="7" fillId="0" borderId="5" xfId="0" applyNumberFormat="1" applyFont="1" applyFill="1" applyBorder="1" applyAlignment="1" applyProtection="1">
      <alignment horizontal="center" vertical="top" wrapText="1" shrinkToFit="1"/>
      <protection locked="0"/>
    </xf>
    <xf numFmtId="0" fontId="7" fillId="0" borderId="41" xfId="0" applyFont="1" applyFill="1" applyBorder="1" applyAlignment="1" applyProtection="1">
      <alignment horizontal="center" vertical="top" wrapText="1" readingOrder="1"/>
      <protection locked="0"/>
    </xf>
    <xf numFmtId="0" fontId="7" fillId="0" borderId="42" xfId="0" applyFont="1" applyFill="1" applyBorder="1" applyAlignment="1" applyProtection="1">
      <alignment horizontal="center" vertical="top" wrapText="1" readingOrder="1"/>
      <protection locked="0"/>
    </xf>
    <xf numFmtId="0" fontId="7" fillId="0" borderId="12" xfId="0" applyFont="1" applyFill="1" applyBorder="1" applyAlignment="1" applyProtection="1">
      <alignment horizontal="center" vertical="top" wrapText="1" readingOrder="1"/>
      <protection locked="0"/>
    </xf>
    <xf numFmtId="0" fontId="7" fillId="0" borderId="3" xfId="1" applyNumberFormat="1" applyFont="1" applyFill="1" applyBorder="1" applyAlignment="1">
      <alignment horizontal="center" vertical="top" wrapText="1"/>
    </xf>
    <xf numFmtId="49" fontId="4" fillId="0" borderId="43" xfId="0" applyNumberFormat="1" applyFont="1" applyFill="1" applyBorder="1" applyAlignment="1" applyProtection="1">
      <alignment horizontal="center" vertical="top" wrapText="1" readingOrder="1"/>
      <protection locked="0"/>
    </xf>
    <xf numFmtId="0" fontId="9" fillId="0" borderId="2" xfId="0" applyNumberFormat="1" applyFont="1" applyFill="1" applyBorder="1" applyAlignment="1" applyProtection="1">
      <alignment horizontal="center" vertical="top" wrapText="1" shrinkToFit="1"/>
      <protection locked="0"/>
    </xf>
    <xf numFmtId="14" fontId="9" fillId="0" borderId="2" xfId="0" applyNumberFormat="1" applyFont="1" applyFill="1" applyBorder="1" applyAlignment="1" applyProtection="1">
      <alignment horizontal="center" vertical="top" wrapText="1" shrinkToFit="1"/>
      <protection locked="0"/>
    </xf>
    <xf numFmtId="0" fontId="7" fillId="0" borderId="2" xfId="0" applyNumberFormat="1" applyFont="1" applyFill="1" applyBorder="1" applyAlignment="1" applyProtection="1">
      <alignment horizontal="center" vertical="top" wrapText="1" shrinkToFit="1"/>
      <protection locked="0"/>
    </xf>
    <xf numFmtId="0" fontId="4" fillId="0" borderId="12" xfId="0" applyFont="1" applyFill="1" applyBorder="1" applyAlignment="1" applyProtection="1">
      <alignment horizontal="center" vertical="top" wrapText="1" readingOrder="1"/>
      <protection locked="0"/>
    </xf>
    <xf numFmtId="0" fontId="4" fillId="0" borderId="34" xfId="0" applyFont="1" applyFill="1" applyBorder="1" applyAlignment="1" applyProtection="1">
      <alignment horizontal="center" vertical="top" wrapText="1" readingOrder="1"/>
      <protection locked="0"/>
    </xf>
    <xf numFmtId="164" fontId="4" fillId="0" borderId="6" xfId="0" applyNumberFormat="1" applyFont="1" applyFill="1" applyBorder="1" applyAlignment="1" applyProtection="1">
      <alignment vertical="top" wrapText="1" readingOrder="1"/>
      <protection locked="0"/>
    </xf>
    <xf numFmtId="4" fontId="4" fillId="0" borderId="5" xfId="0" applyNumberFormat="1" applyFont="1" applyFill="1" applyBorder="1" applyAlignment="1" applyProtection="1">
      <alignment vertical="top" wrapText="1" readingOrder="1"/>
      <protection locked="0"/>
    </xf>
    <xf numFmtId="0" fontId="6" fillId="0" borderId="45" xfId="0" applyNumberFormat="1" applyFont="1" applyFill="1" applyBorder="1" applyAlignment="1" applyProtection="1">
      <alignment horizontal="center" vertical="center" wrapText="1" shrinkToFit="1"/>
      <protection locked="0"/>
    </xf>
    <xf numFmtId="0" fontId="6" fillId="0" borderId="4" xfId="0" applyNumberFormat="1" applyFont="1" applyFill="1" applyBorder="1" applyAlignment="1" applyProtection="1">
      <alignment horizontal="center" vertical="center" wrapText="1" shrinkToFit="1"/>
      <protection locked="0"/>
    </xf>
    <xf numFmtId="0" fontId="6" fillId="0" borderId="46" xfId="0" applyNumberFormat="1" applyFont="1" applyFill="1" applyBorder="1" applyAlignment="1" applyProtection="1">
      <alignment horizontal="center" vertical="center" wrapText="1" shrinkToFit="1"/>
      <protection locked="0"/>
    </xf>
    <xf numFmtId="0" fontId="4" fillId="0" borderId="23" xfId="0" applyFont="1" applyFill="1" applyBorder="1" applyAlignment="1" applyProtection="1">
      <alignment vertical="top" wrapText="1" readingOrder="1"/>
      <protection locked="0"/>
    </xf>
    <xf numFmtId="0" fontId="4" fillId="0" borderId="23" xfId="0" applyFont="1" applyFill="1" applyBorder="1" applyAlignment="1">
      <alignment horizontal="center" vertical="top"/>
    </xf>
    <xf numFmtId="0" fontId="3" fillId="0" borderId="1" xfId="0" applyNumberFormat="1" applyFont="1" applyFill="1" applyBorder="1" applyAlignment="1" applyProtection="1">
      <alignment vertical="top" wrapText="1" shrinkToFit="1"/>
      <protection locked="0"/>
    </xf>
    <xf numFmtId="0" fontId="6" fillId="0" borderId="1" xfId="0" applyNumberFormat="1" applyFont="1" applyFill="1" applyBorder="1" applyAlignment="1" applyProtection="1">
      <alignment vertical="top" wrapText="1" shrinkToFit="1"/>
      <protection locked="0"/>
    </xf>
    <xf numFmtId="0" fontId="6" fillId="0" borderId="18" xfId="0" applyNumberFormat="1" applyFont="1" applyFill="1" applyBorder="1" applyAlignment="1" applyProtection="1">
      <alignment vertical="top" wrapText="1" shrinkToFit="1"/>
      <protection locked="0"/>
    </xf>
    <xf numFmtId="166" fontId="7" fillId="0" borderId="7" xfId="0" applyNumberFormat="1" applyFont="1" applyFill="1" applyBorder="1" applyAlignment="1" applyProtection="1">
      <alignment vertical="top" wrapText="1" readingOrder="1"/>
      <protection locked="0"/>
    </xf>
    <xf numFmtId="0" fontId="17" fillId="0" borderId="1" xfId="0" applyFont="1" applyFill="1" applyBorder="1" applyAlignment="1" applyProtection="1">
      <alignment vertical="top" wrapText="1" readingOrder="1"/>
      <protection locked="0"/>
    </xf>
    <xf numFmtId="0" fontId="17" fillId="0" borderId="4" xfId="0" applyFont="1" applyFill="1" applyBorder="1" applyAlignment="1" applyProtection="1">
      <alignment vertical="top" wrapText="1" readingOrder="1"/>
      <protection locked="0"/>
    </xf>
    <xf numFmtId="0" fontId="4" fillId="0" borderId="23" xfId="0" applyFont="1" applyFill="1" applyBorder="1" applyAlignment="1" applyProtection="1">
      <alignment horizontal="center" vertical="top" wrapText="1" readingOrder="1"/>
      <protection locked="0"/>
    </xf>
    <xf numFmtId="0" fontId="7" fillId="0" borderId="10" xfId="0" applyFont="1" applyFill="1" applyBorder="1" applyAlignment="1" applyProtection="1">
      <alignment horizontal="center" vertical="top" wrapText="1" readingOrder="1"/>
      <protection locked="0"/>
    </xf>
    <xf numFmtId="0" fontId="7" fillId="0" borderId="34" xfId="0" applyFont="1" applyFill="1" applyBorder="1" applyAlignment="1" applyProtection="1">
      <alignment horizontal="center" vertical="top" wrapText="1" readingOrder="1"/>
      <protection locked="0"/>
    </xf>
    <xf numFmtId="0" fontId="2" fillId="0" borderId="0" xfId="0" applyFont="1" applyFill="1" applyAlignment="1">
      <alignment horizontal="center" vertical="top"/>
    </xf>
    <xf numFmtId="0" fontId="17" fillId="0" borderId="18" xfId="0" applyFont="1" applyFill="1" applyBorder="1" applyAlignment="1" applyProtection="1">
      <alignment vertical="top" wrapText="1" readingOrder="1"/>
      <protection locked="0"/>
    </xf>
    <xf numFmtId="0" fontId="3" fillId="0" borderId="17" xfId="0" applyNumberFormat="1" applyFont="1" applyFill="1" applyBorder="1" applyAlignment="1" applyProtection="1">
      <alignment horizontal="center" vertical="top" wrapText="1" shrinkToFit="1"/>
      <protection locked="0"/>
    </xf>
    <xf numFmtId="0" fontId="4" fillId="0" borderId="2" xfId="0" applyNumberFormat="1" applyFont="1" applyFill="1" applyBorder="1" applyAlignment="1" applyProtection="1">
      <alignment horizontal="center" vertical="top" wrapText="1" readingOrder="1"/>
      <protection locked="0"/>
    </xf>
    <xf numFmtId="0" fontId="6" fillId="0" borderId="1" xfId="0" applyNumberFormat="1" applyFont="1" applyFill="1" applyBorder="1" applyAlignment="1" applyProtection="1">
      <alignment horizontal="center" vertical="center" wrapText="1" shrinkToFit="1"/>
      <protection locked="0"/>
    </xf>
    <xf numFmtId="0" fontId="4" fillId="0" borderId="1" xfId="0" applyFont="1" applyFill="1" applyBorder="1" applyAlignment="1">
      <alignment horizontal="center" vertical="top"/>
    </xf>
    <xf numFmtId="0" fontId="6" fillId="0" borderId="23" xfId="0" applyNumberFormat="1" applyFont="1" applyFill="1" applyBorder="1" applyAlignment="1" applyProtection="1">
      <alignment horizontal="center" vertical="top" wrapText="1" shrinkToFit="1"/>
      <protection locked="0"/>
    </xf>
    <xf numFmtId="0" fontId="4" fillId="0" borderId="1" xfId="0" applyNumberFormat="1" applyFont="1" applyFill="1" applyBorder="1" applyAlignment="1" applyProtection="1">
      <alignment vertical="top" wrapText="1" shrinkToFit="1"/>
      <protection locked="0"/>
    </xf>
    <xf numFmtId="0" fontId="4" fillId="0" borderId="12" xfId="0" applyNumberFormat="1" applyFont="1" applyFill="1" applyBorder="1" applyAlignment="1" applyProtection="1">
      <alignment horizontal="center" vertical="top" wrapText="1" shrinkToFit="1"/>
      <protection locked="0"/>
    </xf>
    <xf numFmtId="0" fontId="4" fillId="0" borderId="21" xfId="0" applyNumberFormat="1" applyFont="1" applyFill="1" applyBorder="1" applyAlignment="1" applyProtection="1">
      <alignment horizontal="center" vertical="top" wrapText="1" shrinkToFit="1"/>
      <protection locked="0"/>
    </xf>
    <xf numFmtId="0" fontId="3" fillId="0" borderId="1" xfId="0" applyNumberFormat="1" applyFont="1" applyFill="1" applyBorder="1" applyAlignment="1" applyProtection="1">
      <alignment vertical="center" wrapText="1" shrinkToFit="1"/>
      <protection locked="0"/>
    </xf>
    <xf numFmtId="0" fontId="3" fillId="0" borderId="8" xfId="0" applyNumberFormat="1" applyFont="1" applyFill="1" applyBorder="1" applyAlignment="1" applyProtection="1">
      <alignment vertical="center" wrapText="1" shrinkToFit="1"/>
      <protection locked="0"/>
    </xf>
    <xf numFmtId="0" fontId="4" fillId="0" borderId="2" xfId="1" applyNumberFormat="1" applyFont="1" applyFill="1" applyBorder="1" applyAlignment="1">
      <alignment horizontal="center" vertical="top" wrapText="1"/>
    </xf>
    <xf numFmtId="14" fontId="6" fillId="0" borderId="5" xfId="0" applyNumberFormat="1" applyFont="1" applyFill="1" applyBorder="1" applyAlignment="1" applyProtection="1">
      <alignment horizontal="center" vertical="top" wrapText="1" shrinkToFit="1"/>
      <protection locked="0"/>
    </xf>
    <xf numFmtId="0" fontId="3" fillId="0" borderId="36" xfId="0" applyNumberFormat="1" applyFont="1" applyFill="1" applyBorder="1" applyAlignment="1" applyProtection="1">
      <alignment horizontal="center" vertical="top" wrapText="1" shrinkToFit="1"/>
      <protection locked="0"/>
    </xf>
    <xf numFmtId="0" fontId="6" fillId="0" borderId="18" xfId="1" applyFont="1" applyFill="1" applyBorder="1" applyAlignment="1">
      <alignment horizontal="center" vertical="top" wrapText="1"/>
    </xf>
    <xf numFmtId="0" fontId="4" fillId="0" borderId="11" xfId="1" applyNumberFormat="1" applyFont="1" applyFill="1" applyBorder="1" applyAlignment="1">
      <alignment horizontal="center" vertical="top" wrapText="1"/>
    </xf>
    <xf numFmtId="0" fontId="3" fillId="0" borderId="47" xfId="0" applyNumberFormat="1" applyFont="1" applyFill="1" applyBorder="1" applyAlignment="1" applyProtection="1">
      <alignment horizontal="center" vertical="top" wrapText="1" shrinkToFit="1"/>
      <protection locked="0"/>
    </xf>
    <xf numFmtId="0" fontId="3" fillId="0" borderId="41" xfId="0" applyNumberFormat="1" applyFont="1" applyFill="1" applyBorder="1" applyAlignment="1" applyProtection="1">
      <alignment horizontal="center" vertical="top" wrapText="1" shrinkToFit="1"/>
      <protection locked="0"/>
    </xf>
    <xf numFmtId="14" fontId="3" fillId="0" borderId="41" xfId="0" applyNumberFormat="1" applyFont="1" applyFill="1" applyBorder="1" applyAlignment="1" applyProtection="1">
      <alignment horizontal="center" vertical="top" wrapText="1" shrinkToFit="1"/>
      <protection locked="0"/>
    </xf>
    <xf numFmtId="0" fontId="3" fillId="0" borderId="37" xfId="0" applyNumberFormat="1" applyFont="1" applyFill="1" applyBorder="1" applyAlignment="1" applyProtection="1">
      <alignment horizontal="center" vertical="top" wrapText="1" shrinkToFit="1"/>
      <protection locked="0"/>
    </xf>
    <xf numFmtId="0" fontId="3" fillId="0" borderId="32" xfId="0" applyNumberFormat="1" applyFont="1" applyFill="1" applyBorder="1" applyAlignment="1" applyProtection="1">
      <alignment horizontal="center" vertical="top" wrapText="1" shrinkToFit="1"/>
      <protection locked="0"/>
    </xf>
    <xf numFmtId="0" fontId="3" fillId="0" borderId="48" xfId="0" applyNumberFormat="1" applyFont="1" applyFill="1" applyBorder="1" applyAlignment="1" applyProtection="1">
      <alignment horizontal="center" vertical="top" wrapText="1" shrinkToFit="1"/>
      <protection locked="0"/>
    </xf>
    <xf numFmtId="14" fontId="3" fillId="0" borderId="32" xfId="0" applyNumberFormat="1" applyFont="1" applyFill="1" applyBorder="1" applyAlignment="1" applyProtection="1">
      <alignment horizontal="center" vertical="top" wrapText="1" shrinkToFit="1"/>
      <protection locked="0"/>
    </xf>
    <xf numFmtId="14" fontId="3" fillId="0" borderId="18" xfId="0" applyNumberFormat="1" applyFont="1" applyFill="1" applyBorder="1" applyAlignment="1" applyProtection="1">
      <alignment horizontal="center" vertical="top" wrapText="1" shrinkToFit="1"/>
      <protection locked="0"/>
    </xf>
    <xf numFmtId="14" fontId="3" fillId="0" borderId="19" xfId="0" applyNumberFormat="1" applyFont="1" applyFill="1" applyBorder="1" applyAlignment="1" applyProtection="1">
      <alignment horizontal="center" vertical="top" wrapText="1" shrinkToFit="1"/>
      <protection locked="0"/>
    </xf>
    <xf numFmtId="0" fontId="3" fillId="0" borderId="3" xfId="0" applyNumberFormat="1" applyFont="1" applyFill="1" applyBorder="1" applyAlignment="1" applyProtection="1">
      <alignment horizontal="center" vertical="top" wrapText="1" shrinkToFit="1"/>
      <protection locked="0"/>
    </xf>
    <xf numFmtId="14" fontId="3" fillId="0" borderId="3" xfId="0" applyNumberFormat="1" applyFont="1" applyFill="1" applyBorder="1" applyAlignment="1" applyProtection="1">
      <alignment horizontal="center" vertical="top" wrapText="1" shrinkToFit="1"/>
      <protection locked="0"/>
    </xf>
    <xf numFmtId="0" fontId="4" fillId="0" borderId="32" xfId="0" applyNumberFormat="1" applyFont="1" applyFill="1" applyBorder="1" applyAlignment="1" applyProtection="1">
      <alignment horizontal="center" vertical="top" wrapText="1" shrinkToFit="1"/>
      <protection locked="0"/>
    </xf>
    <xf numFmtId="14" fontId="4" fillId="0" borderId="48" xfId="0" applyNumberFormat="1" applyFont="1" applyFill="1" applyBorder="1" applyAlignment="1" applyProtection="1">
      <alignment horizontal="center" vertical="top" wrapText="1" shrinkToFit="1"/>
      <protection locked="0"/>
    </xf>
    <xf numFmtId="14" fontId="3" fillId="0" borderId="8" xfId="0" applyNumberFormat="1" applyFont="1" applyFill="1" applyBorder="1" applyAlignment="1" applyProtection="1">
      <alignment horizontal="center" vertical="top" wrapText="1" shrinkToFit="1"/>
      <protection locked="0"/>
    </xf>
    <xf numFmtId="0" fontId="3" fillId="0" borderId="7" xfId="1" applyNumberFormat="1" applyFont="1" applyFill="1" applyBorder="1" applyAlignment="1">
      <alignment horizontal="center" vertical="top" wrapText="1"/>
    </xf>
    <xf numFmtId="0" fontId="4" fillId="0" borderId="6" xfId="0" applyNumberFormat="1" applyFont="1" applyFill="1" applyBorder="1" applyAlignment="1" applyProtection="1">
      <alignment horizontal="center" vertical="center" wrapText="1" shrinkToFit="1"/>
      <protection locked="0"/>
    </xf>
    <xf numFmtId="0" fontId="4" fillId="0" borderId="4" xfId="0" applyNumberFormat="1" applyFont="1" applyFill="1" applyBorder="1" applyAlignment="1" applyProtection="1">
      <alignment horizontal="center" vertical="center" wrapText="1" shrinkToFit="1"/>
      <protection locked="0"/>
    </xf>
    <xf numFmtId="0" fontId="4" fillId="0" borderId="18" xfId="0" applyFont="1" applyFill="1" applyBorder="1" applyAlignment="1" applyProtection="1">
      <alignment vertical="top" wrapText="1" readingOrder="1"/>
      <protection locked="0"/>
    </xf>
    <xf numFmtId="14" fontId="4" fillId="0" borderId="16" xfId="0" applyNumberFormat="1" applyFont="1" applyFill="1" applyBorder="1" applyAlignment="1" applyProtection="1">
      <alignment horizontal="center" vertical="top" wrapText="1" shrinkToFit="1"/>
      <protection locked="0"/>
    </xf>
    <xf numFmtId="166" fontId="7" fillId="0" borderId="18" xfId="0" applyNumberFormat="1" applyFont="1" applyFill="1" applyBorder="1" applyAlignment="1" applyProtection="1">
      <alignment vertical="top" wrapText="1" readingOrder="1"/>
      <protection locked="0"/>
    </xf>
    <xf numFmtId="166" fontId="7" fillId="0" borderId="6" xfId="0" applyNumberFormat="1" applyFont="1" applyFill="1" applyBorder="1" applyAlignment="1" applyProtection="1">
      <alignment vertical="top" wrapText="1" readingOrder="1"/>
      <protection locked="0"/>
    </xf>
    <xf numFmtId="49" fontId="7" fillId="0" borderId="4" xfId="0" applyNumberFormat="1" applyFont="1" applyFill="1" applyBorder="1" applyAlignment="1" applyProtection="1">
      <alignment horizontal="center" vertical="top" wrapText="1" readingOrder="1"/>
      <protection locked="0"/>
    </xf>
    <xf numFmtId="166" fontId="7" fillId="0" borderId="4" xfId="0" applyNumberFormat="1" applyFont="1" applyFill="1" applyBorder="1" applyAlignment="1" applyProtection="1">
      <alignment vertical="top" wrapText="1" readingOrder="1"/>
      <protection locked="0"/>
    </xf>
    <xf numFmtId="0" fontId="6" fillId="0" borderId="2" xfId="0" applyNumberFormat="1" applyFont="1" applyFill="1" applyBorder="1" applyAlignment="1" applyProtection="1">
      <alignment horizontal="center" vertical="center" wrapText="1" shrinkToFit="1"/>
      <protection locked="0"/>
    </xf>
    <xf numFmtId="0" fontId="7" fillId="0" borderId="23" xfId="0" applyFont="1" applyFill="1" applyBorder="1" applyAlignment="1" applyProtection="1">
      <alignment horizontal="left" vertical="top" wrapText="1" readingOrder="1"/>
      <protection locked="0"/>
    </xf>
    <xf numFmtId="164" fontId="4" fillId="0" borderId="23" xfId="0" applyNumberFormat="1" applyFont="1" applyFill="1" applyBorder="1" applyAlignment="1" applyProtection="1">
      <alignment vertical="top" wrapText="1" readingOrder="1"/>
      <protection locked="0"/>
    </xf>
    <xf numFmtId="165" fontId="4" fillId="0" borderId="2" xfId="0" applyNumberFormat="1" applyFont="1" applyFill="1" applyBorder="1" applyAlignment="1" applyProtection="1">
      <alignment vertical="top" wrapText="1" readingOrder="1"/>
      <protection locked="0"/>
    </xf>
    <xf numFmtId="49" fontId="4" fillId="0" borderId="10" xfId="0" applyNumberFormat="1" applyFont="1" applyFill="1" applyBorder="1" applyAlignment="1" applyProtection="1">
      <alignment horizontal="center" vertical="top" wrapText="1" readingOrder="1"/>
      <protection locked="0"/>
    </xf>
    <xf numFmtId="165" fontId="4" fillId="0" borderId="5" xfId="0" applyNumberFormat="1" applyFont="1" applyFill="1" applyBorder="1" applyAlignment="1" applyProtection="1">
      <alignment vertical="top" wrapText="1" readingOrder="1"/>
      <protection locked="0"/>
    </xf>
    <xf numFmtId="0" fontId="7" fillId="0" borderId="5" xfId="0" applyFont="1" applyFill="1" applyBorder="1" applyAlignment="1" applyProtection="1">
      <alignment horizontal="left" vertical="top" wrapText="1" readingOrder="1"/>
      <protection locked="0"/>
    </xf>
    <xf numFmtId="49" fontId="7" fillId="0" borderId="1" xfId="0" applyNumberFormat="1" applyFont="1" applyFill="1" applyBorder="1" applyAlignment="1" applyProtection="1">
      <alignment horizontal="center" vertical="top" wrapText="1" readingOrder="1"/>
      <protection locked="0"/>
    </xf>
    <xf numFmtId="0" fontId="4" fillId="0" borderId="3" xfId="0" applyNumberFormat="1" applyFont="1" applyFill="1" applyBorder="1" applyAlignment="1" applyProtection="1">
      <alignment horizontal="center" vertical="center" wrapText="1" shrinkToFit="1"/>
      <protection locked="0"/>
    </xf>
    <xf numFmtId="14" fontId="4" fillId="0" borderId="3" xfId="0" applyNumberFormat="1" applyFont="1" applyFill="1" applyBorder="1" applyAlignment="1" applyProtection="1">
      <alignment horizontal="center" vertical="center" wrapText="1" shrinkToFit="1"/>
      <protection locked="0"/>
    </xf>
    <xf numFmtId="0" fontId="4" fillId="0" borderId="26" xfId="0" applyNumberFormat="1" applyFont="1" applyFill="1" applyBorder="1" applyAlignment="1" applyProtection="1">
      <alignment horizontal="center" vertical="top" wrapText="1" shrinkToFit="1"/>
      <protection locked="0"/>
    </xf>
    <xf numFmtId="166" fontId="7" fillId="0" borderId="5" xfId="0" applyNumberFormat="1" applyFont="1" applyFill="1" applyBorder="1" applyAlignment="1" applyProtection="1">
      <alignment vertical="top" wrapText="1" readingOrder="1"/>
      <protection locked="0"/>
    </xf>
    <xf numFmtId="0" fontId="4" fillId="0" borderId="5" xfId="0" applyNumberFormat="1" applyFont="1" applyFill="1" applyBorder="1" applyAlignment="1" applyProtection="1">
      <alignment vertical="top" wrapText="1" shrinkToFit="1"/>
      <protection locked="0"/>
    </xf>
    <xf numFmtId="0" fontId="7" fillId="0" borderId="51" xfId="0" applyFont="1" applyFill="1" applyBorder="1" applyAlignment="1" applyProtection="1">
      <alignment horizontal="center" vertical="top" wrapText="1" readingOrder="1"/>
      <protection locked="0"/>
    </xf>
    <xf numFmtId="164" fontId="7" fillId="0" borderId="36" xfId="0" applyNumberFormat="1" applyFont="1" applyFill="1" applyBorder="1" applyAlignment="1" applyProtection="1">
      <alignment vertical="top" wrapText="1" readingOrder="1"/>
      <protection locked="0"/>
    </xf>
    <xf numFmtId="49" fontId="4" fillId="0" borderId="32" xfId="0" applyNumberFormat="1" applyFont="1" applyFill="1" applyBorder="1" applyAlignment="1" applyProtection="1">
      <alignment horizontal="center" vertical="top" wrapText="1" readingOrder="1"/>
      <protection locked="0"/>
    </xf>
    <xf numFmtId="4" fontId="12" fillId="0" borderId="0" xfId="0" applyNumberFormat="1" applyFont="1" applyFill="1"/>
    <xf numFmtId="4" fontId="15" fillId="0" borderId="0" xfId="0" applyNumberFormat="1" applyFont="1" applyFill="1"/>
    <xf numFmtId="14" fontId="6" fillId="0" borderId="2" xfId="0" applyNumberFormat="1" applyFont="1" applyFill="1" applyBorder="1" applyAlignment="1" applyProtection="1">
      <alignment horizontal="center" vertical="top" wrapText="1"/>
    </xf>
    <xf numFmtId="166" fontId="4" fillId="0" borderId="33" xfId="0" applyNumberFormat="1" applyFont="1" applyFill="1" applyBorder="1" applyAlignment="1" applyProtection="1">
      <alignment vertical="top" wrapText="1" readingOrder="1"/>
      <protection locked="0"/>
    </xf>
    <xf numFmtId="166" fontId="7" fillId="0" borderId="11" xfId="0" applyNumberFormat="1" applyFont="1" applyFill="1" applyBorder="1" applyAlignment="1" applyProtection="1">
      <alignment vertical="top" wrapText="1" readingOrder="1"/>
      <protection locked="0"/>
    </xf>
    <xf numFmtId="166" fontId="4" fillId="0" borderId="7" xfId="0" applyNumberFormat="1" applyFont="1" applyFill="1" applyBorder="1" applyAlignment="1" applyProtection="1">
      <alignment vertical="top" wrapText="1" readingOrder="1"/>
      <protection locked="0"/>
    </xf>
    <xf numFmtId="164" fontId="7" fillId="0" borderId="41" xfId="0" applyNumberFormat="1" applyFont="1" applyFill="1" applyBorder="1" applyAlignment="1" applyProtection="1">
      <alignment vertical="top" wrapText="1" readingOrder="1"/>
      <protection locked="0"/>
    </xf>
    <xf numFmtId="4" fontId="4" fillId="0" borderId="7" xfId="0" applyNumberFormat="1" applyFont="1" applyFill="1" applyBorder="1" applyAlignment="1" applyProtection="1">
      <alignment horizontal="right" vertical="center" wrapText="1" readingOrder="1"/>
      <protection locked="0"/>
    </xf>
    <xf numFmtId="49" fontId="17" fillId="0" borderId="6" xfId="0" applyNumberFormat="1" applyFont="1" applyFill="1" applyBorder="1" applyAlignment="1" applyProtection="1">
      <alignment horizontal="center" vertical="top" wrapText="1" readingOrder="1"/>
      <protection locked="0"/>
    </xf>
    <xf numFmtId="0" fontId="4" fillId="0" borderId="2" xfId="0" applyFont="1" applyFill="1" applyBorder="1" applyAlignment="1" applyProtection="1">
      <alignment horizontal="center" vertical="top" wrapText="1"/>
      <protection locked="0"/>
    </xf>
    <xf numFmtId="166" fontId="4" fillId="0" borderId="11" xfId="0" applyNumberFormat="1" applyFont="1" applyFill="1" applyBorder="1" applyAlignment="1" applyProtection="1">
      <alignment vertical="top" wrapText="1" readingOrder="1"/>
      <protection locked="0"/>
    </xf>
    <xf numFmtId="0" fontId="6" fillId="0" borderId="4" xfId="0" applyNumberFormat="1" applyFont="1" applyFill="1" applyBorder="1" applyAlignment="1" applyProtection="1">
      <alignment horizontal="center" vertical="center" wrapText="1"/>
    </xf>
    <xf numFmtId="0" fontId="3" fillId="0" borderId="11" xfId="1" applyNumberFormat="1" applyFont="1" applyFill="1" applyBorder="1" applyAlignment="1">
      <alignment horizontal="center" vertical="top" wrapText="1"/>
    </xf>
    <xf numFmtId="0" fontId="6" fillId="0" borderId="4" xfId="0" applyNumberFormat="1" applyFont="1" applyFill="1" applyBorder="1" applyAlignment="1" applyProtection="1">
      <alignment horizontal="center" vertical="top" wrapText="1" shrinkToFit="1"/>
      <protection locked="0"/>
    </xf>
    <xf numFmtId="0" fontId="6" fillId="0" borderId="35" xfId="0" applyNumberFormat="1" applyFont="1" applyFill="1" applyBorder="1" applyAlignment="1" applyProtection="1">
      <alignment horizontal="center" vertical="top" wrapText="1"/>
    </xf>
    <xf numFmtId="0" fontId="4" fillId="0" borderId="8" xfId="0" applyNumberFormat="1" applyFont="1" applyFill="1" applyBorder="1" applyAlignment="1" applyProtection="1">
      <alignment horizontal="center" vertical="top" wrapText="1" shrinkToFit="1"/>
      <protection locked="0"/>
    </xf>
    <xf numFmtId="0" fontId="6" fillId="0" borderId="2" xfId="0" applyNumberFormat="1" applyFont="1" applyFill="1" applyBorder="1" applyAlignment="1" applyProtection="1">
      <alignment vertical="center" wrapText="1" readingOrder="1"/>
    </xf>
    <xf numFmtId="0" fontId="6" fillId="0" borderId="2" xfId="0" applyNumberFormat="1" applyFont="1" applyFill="1" applyBorder="1" applyAlignment="1" applyProtection="1">
      <alignment vertical="center" wrapText="1"/>
    </xf>
    <xf numFmtId="0" fontId="6" fillId="0" borderId="2" xfId="0" applyNumberFormat="1" applyFont="1" applyFill="1" applyBorder="1" applyAlignment="1" applyProtection="1">
      <alignment horizontal="center" vertical="top" wrapText="1" readingOrder="1"/>
    </xf>
    <xf numFmtId="0" fontId="4" fillId="0" borderId="5" xfId="0" applyFont="1" applyFill="1" applyBorder="1" applyAlignment="1">
      <alignment horizontal="center" vertical="top" wrapText="1"/>
    </xf>
    <xf numFmtId="0" fontId="4" fillId="0" borderId="6" xfId="0" applyNumberFormat="1" applyFont="1" applyFill="1" applyBorder="1" applyAlignment="1" applyProtection="1">
      <alignment vertical="top" wrapText="1" shrinkToFit="1"/>
      <protection locked="0"/>
    </xf>
    <xf numFmtId="0" fontId="4" fillId="0" borderId="18" xfId="0" applyNumberFormat="1" applyFont="1" applyFill="1" applyBorder="1" applyAlignment="1" applyProtection="1">
      <alignment vertical="top" wrapText="1" shrinkToFit="1"/>
      <protection locked="0"/>
    </xf>
    <xf numFmtId="0" fontId="7" fillId="0" borderId="7" xfId="0" applyFont="1" applyFill="1" applyBorder="1" applyAlignment="1" applyProtection="1">
      <alignment vertical="top" wrapText="1"/>
      <protection locked="0"/>
    </xf>
    <xf numFmtId="0" fontId="7" fillId="0" borderId="7" xfId="0" applyFont="1" applyFill="1" applyBorder="1" applyAlignment="1" applyProtection="1">
      <alignment horizontal="center" vertical="top" wrapText="1"/>
      <protection locked="0"/>
    </xf>
    <xf numFmtId="0" fontId="4" fillId="0" borderId="18" xfId="0" applyFont="1" applyFill="1" applyBorder="1" applyAlignment="1" applyProtection="1">
      <alignment horizontal="center" vertical="top" wrapText="1" readingOrder="1"/>
      <protection locked="0"/>
    </xf>
    <xf numFmtId="14" fontId="3" fillId="0" borderId="39" xfId="0" applyNumberFormat="1" applyFont="1" applyFill="1" applyBorder="1" applyAlignment="1" applyProtection="1">
      <alignment horizontal="center" vertical="top" wrapText="1" shrinkToFit="1"/>
      <protection locked="0"/>
    </xf>
    <xf numFmtId="0" fontId="3" fillId="0" borderId="38" xfId="0" applyNumberFormat="1" applyFont="1" applyFill="1" applyBorder="1" applyAlignment="1" applyProtection="1">
      <alignment horizontal="center" vertical="top" wrapText="1" shrinkToFit="1"/>
      <protection locked="0"/>
    </xf>
    <xf numFmtId="0" fontId="4" fillId="0" borderId="53" xfId="0" applyFont="1" applyFill="1" applyBorder="1" applyAlignment="1" applyProtection="1">
      <alignment horizontal="center" vertical="top" wrapText="1" readingOrder="1"/>
      <protection locked="0"/>
    </xf>
    <xf numFmtId="166" fontId="7" fillId="0" borderId="1" xfId="0" applyNumberFormat="1" applyFont="1" applyFill="1" applyBorder="1" applyAlignment="1" applyProtection="1">
      <alignment horizontal="right" vertical="top" wrapText="1" readingOrder="1"/>
      <protection locked="0"/>
    </xf>
    <xf numFmtId="0" fontId="4" fillId="0" borderId="7" xfId="0" applyNumberFormat="1" applyFont="1" applyFill="1" applyBorder="1" applyAlignment="1" applyProtection="1">
      <alignment horizontal="center" vertical="top" wrapText="1" shrinkToFit="1"/>
      <protection locked="0"/>
    </xf>
    <xf numFmtId="166" fontId="4" fillId="0" borderId="34" xfId="0" applyNumberFormat="1" applyFont="1" applyFill="1" applyBorder="1" applyAlignment="1" applyProtection="1">
      <alignment vertical="top" wrapText="1" readingOrder="1"/>
      <protection locked="0"/>
    </xf>
    <xf numFmtId="0" fontId="4" fillId="0" borderId="2" xfId="0" applyFont="1" applyFill="1" applyBorder="1" applyAlignment="1" applyProtection="1">
      <alignment horizontal="center" wrapText="1"/>
      <protection locked="0"/>
    </xf>
    <xf numFmtId="164" fontId="4" fillId="0" borderId="45" xfId="0" applyNumberFormat="1" applyFont="1" applyFill="1" applyBorder="1" applyAlignment="1" applyProtection="1">
      <alignment vertical="top" wrapText="1" readingOrder="1"/>
      <protection locked="0"/>
    </xf>
    <xf numFmtId="0" fontId="4" fillId="0" borderId="2" xfId="0" applyNumberFormat="1" applyFont="1" applyFill="1" applyBorder="1" applyAlignment="1" applyProtection="1">
      <alignment vertical="top" wrapText="1" shrinkToFit="1"/>
      <protection locked="0"/>
    </xf>
    <xf numFmtId="0" fontId="6" fillId="0" borderId="10" xfId="0" applyNumberFormat="1" applyFont="1" applyFill="1" applyBorder="1" applyAlignment="1" applyProtection="1">
      <alignment horizontal="center" vertical="top" wrapText="1"/>
    </xf>
    <xf numFmtId="0" fontId="3" fillId="0" borderId="6" xfId="1" applyNumberFormat="1" applyFont="1" applyFill="1" applyBorder="1" applyAlignment="1">
      <alignment horizontal="center" vertical="top" wrapText="1"/>
    </xf>
    <xf numFmtId="0" fontId="4" fillId="0" borderId="2" xfId="0" applyNumberFormat="1" applyFont="1" applyFill="1" applyBorder="1" applyAlignment="1" applyProtection="1">
      <alignment horizontal="center" vertical="top" wrapText="1" shrinkToFit="1" readingOrder="1"/>
      <protection locked="0"/>
    </xf>
    <xf numFmtId="0" fontId="4" fillId="0" borderId="7" xfId="0" applyNumberFormat="1" applyFont="1" applyFill="1" applyBorder="1" applyAlignment="1" applyProtection="1">
      <alignment vertical="top" wrapText="1" shrinkToFit="1"/>
      <protection locked="0"/>
    </xf>
    <xf numFmtId="0" fontId="4" fillId="0" borderId="7" xfId="1" applyNumberFormat="1" applyFont="1" applyFill="1" applyBorder="1" applyAlignment="1">
      <alignment horizontal="center" vertical="top" wrapText="1"/>
    </xf>
    <xf numFmtId="0" fontId="3" fillId="0" borderId="1" xfId="1" applyNumberFormat="1" applyFont="1" applyFill="1" applyBorder="1" applyAlignment="1">
      <alignment horizontal="center" vertical="top" wrapText="1"/>
    </xf>
    <xf numFmtId="0" fontId="4" fillId="0" borderId="44" xfId="0" applyFont="1" applyFill="1" applyBorder="1" applyAlignment="1" applyProtection="1">
      <alignment horizontal="center" vertical="top" wrapText="1" readingOrder="1"/>
      <protection locked="0"/>
    </xf>
    <xf numFmtId="0" fontId="6" fillId="0" borderId="2" xfId="0" applyNumberFormat="1" applyFont="1" applyFill="1" applyBorder="1" applyAlignment="1" applyProtection="1">
      <alignment vertical="top" wrapText="1"/>
    </xf>
    <xf numFmtId="0" fontId="6" fillId="0" borderId="10" xfId="0" applyNumberFormat="1" applyFont="1" applyFill="1" applyBorder="1" applyAlignment="1" applyProtection="1">
      <alignment vertical="top" wrapText="1"/>
    </xf>
    <xf numFmtId="165" fontId="4" fillId="0" borderId="7" xfId="0" applyNumberFormat="1" applyFont="1" applyFill="1" applyBorder="1" applyAlignment="1" applyProtection="1">
      <alignment vertical="top" wrapText="1" readingOrder="1"/>
      <protection locked="0"/>
    </xf>
    <xf numFmtId="165" fontId="4" fillId="0" borderId="34" xfId="0" applyNumberFormat="1" applyFont="1" applyFill="1" applyBorder="1" applyAlignment="1" applyProtection="1">
      <alignment vertical="top" wrapText="1" readingOrder="1"/>
      <protection locked="0"/>
    </xf>
    <xf numFmtId="49" fontId="4" fillId="0" borderId="55" xfId="0" applyNumberFormat="1" applyFont="1" applyFill="1" applyBorder="1" applyAlignment="1" applyProtection="1">
      <alignment horizontal="center" vertical="top" wrapText="1" readingOrder="1"/>
      <protection locked="0"/>
    </xf>
    <xf numFmtId="0" fontId="7" fillId="0" borderId="11" xfId="0" applyFont="1" applyFill="1" applyBorder="1" applyAlignment="1" applyProtection="1">
      <alignment vertical="top" wrapText="1"/>
      <protection locked="0"/>
    </xf>
    <xf numFmtId="0" fontId="7" fillId="0" borderId="11" xfId="0" applyFont="1" applyFill="1" applyBorder="1" applyAlignment="1" applyProtection="1">
      <alignment horizontal="center" vertical="top" wrapText="1"/>
      <protection locked="0"/>
    </xf>
    <xf numFmtId="0" fontId="4" fillId="0" borderId="36" xfId="0" applyFont="1" applyFill="1" applyBorder="1" applyAlignment="1" applyProtection="1">
      <alignment vertical="top" wrapText="1" readingOrder="1"/>
      <protection locked="0"/>
    </xf>
    <xf numFmtId="49" fontId="4" fillId="0" borderId="36" xfId="0" applyNumberFormat="1" applyFont="1" applyFill="1" applyBorder="1" applyAlignment="1" applyProtection="1">
      <alignment horizontal="center" vertical="top" wrapText="1" readingOrder="1"/>
      <protection locked="0"/>
    </xf>
    <xf numFmtId="0" fontId="4" fillId="0" borderId="36" xfId="0" applyFont="1" applyFill="1" applyBorder="1" applyAlignment="1">
      <alignment horizontal="center" vertical="top"/>
    </xf>
    <xf numFmtId="0" fontId="4" fillId="0" borderId="36" xfId="0" applyNumberFormat="1" applyFont="1" applyFill="1" applyBorder="1" applyAlignment="1" applyProtection="1">
      <alignment horizontal="center" vertical="top" wrapText="1" shrinkToFit="1"/>
      <protection locked="0"/>
    </xf>
    <xf numFmtId="164" fontId="4" fillId="0" borderId="36" xfId="0" applyNumberFormat="1" applyFont="1" applyFill="1" applyBorder="1" applyAlignment="1" applyProtection="1">
      <alignment vertical="top" wrapText="1" readingOrder="1"/>
      <protection locked="0"/>
    </xf>
    <xf numFmtId="164" fontId="4" fillId="0" borderId="44" xfId="0" applyNumberFormat="1" applyFont="1" applyFill="1" applyBorder="1" applyAlignment="1" applyProtection="1">
      <alignment vertical="top" wrapText="1" readingOrder="1"/>
      <protection locked="0"/>
    </xf>
    <xf numFmtId="0" fontId="3" fillId="0" borderId="12" xfId="0" applyNumberFormat="1" applyFont="1" applyFill="1" applyBorder="1" applyAlignment="1" applyProtection="1">
      <alignment horizontal="center" vertical="top" wrapText="1" shrinkToFit="1"/>
      <protection locked="0"/>
    </xf>
    <xf numFmtId="0" fontId="7" fillId="0" borderId="20" xfId="0" applyFont="1" applyFill="1" applyBorder="1" applyAlignment="1" applyProtection="1">
      <alignment horizontal="center" vertical="top" wrapText="1" readingOrder="1"/>
      <protection locked="0"/>
    </xf>
    <xf numFmtId="0" fontId="4" fillId="0" borderId="5" xfId="1" applyNumberFormat="1" applyFont="1" applyFill="1" applyBorder="1" applyAlignment="1">
      <alignment horizontal="center" vertical="top" wrapText="1"/>
    </xf>
    <xf numFmtId="0" fontId="3" fillId="0" borderId="8" xfId="0" applyNumberFormat="1" applyFont="1" applyFill="1" applyBorder="1" applyAlignment="1" applyProtection="1">
      <alignment horizontal="center" vertical="center" wrapText="1" shrinkToFit="1"/>
      <protection locked="0"/>
    </xf>
    <xf numFmtId="167" fontId="12" fillId="2" borderId="5" xfId="0" applyNumberFormat="1" applyFont="1" applyFill="1" applyBorder="1"/>
    <xf numFmtId="0" fontId="3" fillId="0" borderId="4" xfId="0" applyNumberFormat="1" applyFont="1" applyFill="1" applyBorder="1" applyAlignment="1" applyProtection="1">
      <alignment horizontal="center" vertical="center" wrapText="1" shrinkToFit="1"/>
      <protection locked="0"/>
    </xf>
    <xf numFmtId="0" fontId="4" fillId="0" borderId="56" xfId="0" applyFont="1" applyFill="1" applyBorder="1" applyAlignment="1" applyProtection="1">
      <alignment horizontal="left" vertical="top" wrapText="1" readingOrder="1"/>
      <protection locked="0"/>
    </xf>
    <xf numFmtId="49" fontId="4" fillId="0" borderId="56" xfId="0" applyNumberFormat="1" applyFont="1" applyFill="1" applyBorder="1" applyAlignment="1" applyProtection="1">
      <alignment horizontal="center" vertical="top" wrapText="1" readingOrder="1"/>
      <protection locked="0"/>
    </xf>
    <xf numFmtId="0" fontId="4" fillId="0" borderId="56" xfId="0" applyFont="1" applyFill="1" applyBorder="1" applyAlignment="1" applyProtection="1">
      <alignment vertical="top" wrapText="1" readingOrder="1"/>
      <protection locked="0"/>
    </xf>
    <xf numFmtId="0" fontId="6" fillId="0" borderId="56" xfId="0" applyNumberFormat="1" applyFont="1" applyFill="1" applyBorder="1" applyAlignment="1" applyProtection="1">
      <alignment horizontal="center" vertical="top" wrapText="1"/>
    </xf>
    <xf numFmtId="0" fontId="4" fillId="0" borderId="56" xfId="0" applyFont="1" applyFill="1" applyBorder="1" applyAlignment="1" applyProtection="1">
      <alignment horizontal="center" vertical="top" wrapText="1" readingOrder="1"/>
      <protection locked="0"/>
    </xf>
    <xf numFmtId="0" fontId="4" fillId="0" borderId="56" xfId="0" applyNumberFormat="1" applyFont="1" applyFill="1" applyBorder="1" applyAlignment="1" applyProtection="1">
      <alignment horizontal="center" vertical="top" wrapText="1" shrinkToFit="1"/>
      <protection locked="0"/>
    </xf>
    <xf numFmtId="14" fontId="4" fillId="0" borderId="56" xfId="0" applyNumberFormat="1" applyFont="1" applyFill="1" applyBorder="1" applyAlignment="1" applyProtection="1">
      <alignment horizontal="center" vertical="top" wrapText="1" shrinkToFit="1"/>
      <protection locked="0"/>
    </xf>
    <xf numFmtId="164" fontId="4" fillId="0" borderId="56" xfId="0" applyNumberFormat="1" applyFont="1" applyFill="1" applyBorder="1" applyAlignment="1" applyProtection="1">
      <alignment vertical="top" wrapText="1" readingOrder="1"/>
      <protection locked="0"/>
    </xf>
    <xf numFmtId="164" fontId="7" fillId="0" borderId="15" xfId="0" applyNumberFormat="1" applyFont="1" applyFill="1" applyBorder="1" applyAlignment="1" applyProtection="1">
      <alignment vertical="top" wrapText="1" readingOrder="1"/>
      <protection locked="0"/>
    </xf>
    <xf numFmtId="0" fontId="4" fillId="0" borderId="5" xfId="0" applyFont="1" applyFill="1" applyBorder="1" applyAlignment="1" applyProtection="1">
      <alignment horizontal="left" vertical="top" wrapText="1" readingOrder="1"/>
      <protection locked="0"/>
    </xf>
    <xf numFmtId="0" fontId="4" fillId="0" borderId="57" xfId="0" applyFont="1" applyFill="1" applyBorder="1" applyAlignment="1" applyProtection="1">
      <alignment horizontal="center" vertical="top" wrapText="1" readingOrder="1"/>
      <protection locked="0"/>
    </xf>
    <xf numFmtId="164" fontId="4" fillId="0" borderId="20" xfId="0" applyNumberFormat="1" applyFont="1" applyFill="1" applyBorder="1" applyAlignment="1" applyProtection="1">
      <alignment vertical="top" wrapText="1" readingOrder="1"/>
      <protection locked="0"/>
    </xf>
    <xf numFmtId="164" fontId="4" fillId="0" borderId="16" xfId="0" applyNumberFormat="1" applyFont="1" applyFill="1" applyBorder="1" applyAlignment="1" applyProtection="1">
      <alignment vertical="top" wrapText="1" readingOrder="1"/>
      <protection locked="0"/>
    </xf>
    <xf numFmtId="164" fontId="4" fillId="0" borderId="28" xfId="0" applyNumberFormat="1" applyFont="1" applyFill="1" applyBorder="1" applyAlignment="1" applyProtection="1">
      <alignment vertical="top" wrapText="1" readingOrder="1"/>
      <protection locked="0"/>
    </xf>
    <xf numFmtId="164" fontId="4" fillId="0" borderId="57" xfId="0" applyNumberFormat="1" applyFont="1" applyFill="1" applyBorder="1" applyAlignment="1" applyProtection="1">
      <alignment vertical="top" wrapText="1" readingOrder="1"/>
      <protection locked="0"/>
    </xf>
    <xf numFmtId="166" fontId="4" fillId="0" borderId="57" xfId="0" applyNumberFormat="1" applyFont="1" applyFill="1" applyBorder="1" applyAlignment="1" applyProtection="1">
      <alignment vertical="top" wrapText="1" readingOrder="1"/>
      <protection locked="0"/>
    </xf>
    <xf numFmtId="164" fontId="7" fillId="0" borderId="16" xfId="0" applyNumberFormat="1" applyFont="1" applyFill="1" applyBorder="1" applyAlignment="1" applyProtection="1">
      <alignment vertical="top" wrapText="1" readingOrder="1"/>
      <protection locked="0"/>
    </xf>
    <xf numFmtId="164" fontId="4" fillId="0" borderId="58" xfId="0" applyNumberFormat="1" applyFont="1" applyFill="1" applyBorder="1" applyAlignment="1" applyProtection="1">
      <alignment vertical="top" wrapText="1" readingOrder="1"/>
      <protection locked="0"/>
    </xf>
    <xf numFmtId="165" fontId="4" fillId="0" borderId="28" xfId="0" applyNumberFormat="1" applyFont="1" applyFill="1" applyBorder="1" applyAlignment="1" applyProtection="1">
      <alignment vertical="top" wrapText="1" readingOrder="1"/>
      <protection locked="0"/>
    </xf>
    <xf numFmtId="166" fontId="4" fillId="0" borderId="28" xfId="0" applyNumberFormat="1" applyFont="1" applyFill="1" applyBorder="1" applyAlignment="1" applyProtection="1">
      <alignment vertical="top" wrapText="1" readingOrder="1"/>
      <protection locked="0"/>
    </xf>
    <xf numFmtId="164" fontId="7" fillId="0" borderId="20" xfId="0" applyNumberFormat="1" applyFont="1" applyFill="1" applyBorder="1" applyAlignment="1" applyProtection="1">
      <alignment vertical="top" wrapText="1" readingOrder="1"/>
      <protection locked="0"/>
    </xf>
    <xf numFmtId="164" fontId="7" fillId="0" borderId="28" xfId="0" applyNumberFormat="1" applyFont="1" applyFill="1" applyBorder="1" applyAlignment="1" applyProtection="1">
      <alignment vertical="top" wrapText="1" readingOrder="1"/>
      <protection locked="0"/>
    </xf>
    <xf numFmtId="164" fontId="7" fillId="0" borderId="57" xfId="0" applyNumberFormat="1" applyFont="1" applyFill="1" applyBorder="1" applyAlignment="1" applyProtection="1">
      <alignment vertical="top" wrapText="1" readingOrder="1"/>
      <protection locked="0"/>
    </xf>
    <xf numFmtId="166" fontId="4" fillId="0" borderId="16" xfId="0" applyNumberFormat="1" applyFont="1" applyFill="1" applyBorder="1" applyAlignment="1" applyProtection="1">
      <alignment vertical="top" wrapText="1" readingOrder="1"/>
      <protection locked="0"/>
    </xf>
    <xf numFmtId="164" fontId="4" fillId="0" borderId="55" xfId="0" applyNumberFormat="1" applyFont="1" applyFill="1" applyBorder="1" applyAlignment="1" applyProtection="1">
      <alignment vertical="top" wrapText="1" readingOrder="1"/>
      <protection locked="0"/>
    </xf>
    <xf numFmtId="164" fontId="4" fillId="0" borderId="40" xfId="0" applyNumberFormat="1" applyFont="1" applyFill="1" applyBorder="1" applyAlignment="1" applyProtection="1">
      <alignment vertical="top" wrapText="1" readingOrder="1"/>
      <protection locked="0"/>
    </xf>
    <xf numFmtId="14" fontId="4" fillId="0" borderId="10" xfId="0" applyNumberFormat="1" applyFont="1" applyFill="1" applyBorder="1" applyAlignment="1" applyProtection="1">
      <alignment vertical="top" wrapText="1" shrinkToFit="1"/>
      <protection locked="0"/>
    </xf>
    <xf numFmtId="0" fontId="4" fillId="0" borderId="38" xfId="0" applyNumberFormat="1" applyFont="1" applyFill="1" applyBorder="1" applyAlignment="1" applyProtection="1">
      <alignment horizontal="center" vertical="top" wrapText="1" shrinkToFit="1"/>
      <protection locked="0"/>
    </xf>
    <xf numFmtId="0" fontId="4" fillId="0" borderId="16" xfId="0" applyFont="1" applyFill="1" applyBorder="1" applyAlignment="1" applyProtection="1">
      <alignment vertical="top" wrapText="1" readingOrder="1"/>
      <protection locked="0"/>
    </xf>
    <xf numFmtId="0" fontId="3" fillId="0" borderId="4" xfId="0" applyNumberFormat="1" applyFont="1" applyFill="1" applyBorder="1" applyAlignment="1" applyProtection="1">
      <alignment vertical="top" wrapText="1" shrinkToFit="1"/>
      <protection locked="0"/>
    </xf>
    <xf numFmtId="4" fontId="4" fillId="0" borderId="28" xfId="0" applyNumberFormat="1" applyFont="1" applyFill="1" applyBorder="1" applyAlignment="1" applyProtection="1">
      <alignment horizontal="right" vertical="center" wrapText="1" readingOrder="1"/>
      <protection locked="0"/>
    </xf>
    <xf numFmtId="4" fontId="4" fillId="0" borderId="34" xfId="0" applyNumberFormat="1" applyFont="1" applyFill="1" applyBorder="1" applyAlignment="1" applyProtection="1">
      <alignment horizontal="right" vertical="center" wrapText="1" readingOrder="1"/>
      <protection locked="0"/>
    </xf>
    <xf numFmtId="166" fontId="4" fillId="0" borderId="20" xfId="0" applyNumberFormat="1" applyFont="1" applyFill="1" applyBorder="1" applyAlignment="1" applyProtection="1">
      <alignment vertical="top" wrapText="1" readingOrder="1"/>
      <protection locked="0"/>
    </xf>
    <xf numFmtId="166" fontId="4" fillId="0" borderId="12" xfId="0" applyNumberFormat="1" applyFont="1" applyFill="1" applyBorder="1" applyAlignment="1" applyProtection="1">
      <alignment vertical="top" wrapText="1" readingOrder="1"/>
      <protection locked="0"/>
    </xf>
    <xf numFmtId="0" fontId="6" fillId="0" borderId="5" xfId="0" applyNumberFormat="1" applyFont="1" applyFill="1" applyBorder="1" applyAlignment="1" applyProtection="1">
      <alignment horizontal="center" vertical="center" wrapText="1"/>
    </xf>
    <xf numFmtId="0" fontId="7" fillId="0" borderId="62" xfId="0" applyFont="1" applyFill="1" applyBorder="1" applyAlignment="1" applyProtection="1">
      <alignment vertical="top" wrapText="1" readingOrder="1"/>
      <protection locked="0"/>
    </xf>
    <xf numFmtId="0" fontId="7" fillId="0" borderId="62" xfId="0" applyFont="1" applyFill="1" applyBorder="1" applyAlignment="1" applyProtection="1">
      <alignment horizontal="center" vertical="top" wrapText="1" readingOrder="1"/>
      <protection locked="0"/>
    </xf>
    <xf numFmtId="0" fontId="7" fillId="0" borderId="62" xfId="1" applyNumberFormat="1" applyFont="1" applyFill="1" applyBorder="1" applyAlignment="1">
      <alignment horizontal="center" vertical="center" wrapText="1"/>
    </xf>
    <xf numFmtId="0" fontId="7" fillId="0" borderId="62" xfId="0" applyNumberFormat="1" applyFont="1" applyFill="1" applyBorder="1" applyAlignment="1" applyProtection="1">
      <alignment horizontal="center" vertical="center" wrapText="1" shrinkToFit="1"/>
      <protection locked="0"/>
    </xf>
    <xf numFmtId="49" fontId="4" fillId="0" borderId="62" xfId="0" applyNumberFormat="1" applyFont="1" applyFill="1" applyBorder="1" applyAlignment="1" applyProtection="1">
      <alignment horizontal="center" vertical="top" wrapText="1" readingOrder="1"/>
      <protection locked="0"/>
    </xf>
    <xf numFmtId="0" fontId="6" fillId="0" borderId="62" xfId="0" applyNumberFormat="1" applyFont="1" applyFill="1" applyBorder="1" applyAlignment="1" applyProtection="1">
      <alignment horizontal="center" vertical="top" wrapText="1"/>
    </xf>
    <xf numFmtId="0" fontId="4" fillId="0" borderId="62" xfId="1" applyNumberFormat="1" applyFont="1" applyFill="1" applyBorder="1" applyAlignment="1">
      <alignment horizontal="center" vertical="top" wrapText="1"/>
    </xf>
    <xf numFmtId="0" fontId="4" fillId="0" borderId="62" xfId="0" applyNumberFormat="1" applyFont="1" applyFill="1" applyBorder="1" applyAlignment="1" applyProtection="1">
      <alignment horizontal="center" vertical="top" wrapText="1" shrinkToFit="1"/>
      <protection locked="0"/>
    </xf>
    <xf numFmtId="166" fontId="4" fillId="0" borderId="0" xfId="0" applyNumberFormat="1" applyFont="1" applyFill="1" applyBorder="1" applyAlignment="1" applyProtection="1">
      <alignment vertical="top" wrapText="1" readingOrder="1"/>
      <protection locked="0"/>
    </xf>
    <xf numFmtId="164" fontId="4" fillId="0" borderId="37" xfId="0" applyNumberFormat="1" applyFont="1" applyFill="1" applyBorder="1" applyAlignment="1" applyProtection="1">
      <alignment vertical="top" wrapText="1" readingOrder="1"/>
      <protection locked="0"/>
    </xf>
    <xf numFmtId="0" fontId="4" fillId="0" borderId="62" xfId="0" applyFont="1" applyFill="1" applyBorder="1" applyAlignment="1" applyProtection="1">
      <alignment vertical="top" wrapText="1" readingOrder="1"/>
      <protection locked="0"/>
    </xf>
    <xf numFmtId="0" fontId="7" fillId="0" borderId="57" xfId="0" applyFont="1" applyFill="1" applyBorder="1" applyAlignment="1" applyProtection="1">
      <alignment vertical="top" wrapText="1" readingOrder="1"/>
      <protection locked="0"/>
    </xf>
    <xf numFmtId="0" fontId="7" fillId="0" borderId="5" xfId="1" applyNumberFormat="1" applyFont="1" applyFill="1" applyBorder="1" applyAlignment="1">
      <alignment horizontal="center" vertical="center" wrapText="1"/>
    </xf>
    <xf numFmtId="0" fontId="4" fillId="0" borderId="16" xfId="0" applyNumberFormat="1" applyFont="1" applyFill="1" applyBorder="1" applyAlignment="1" applyProtection="1">
      <alignment vertical="top" wrapText="1" shrinkToFit="1"/>
      <protection locked="0"/>
    </xf>
    <xf numFmtId="49" fontId="7" fillId="0" borderId="62" xfId="0" applyNumberFormat="1" applyFont="1" applyFill="1" applyBorder="1" applyAlignment="1" applyProtection="1">
      <alignment horizontal="center" vertical="top" wrapText="1" readingOrder="1"/>
      <protection locked="0"/>
    </xf>
    <xf numFmtId="0" fontId="4" fillId="0" borderId="62" xfId="0" applyFont="1" applyFill="1" applyBorder="1" applyAlignment="1" applyProtection="1">
      <alignment vertical="top" wrapText="1"/>
      <protection locked="0"/>
    </xf>
    <xf numFmtId="0" fontId="4" fillId="0" borderId="62" xfId="0" applyFont="1" applyFill="1" applyBorder="1" applyAlignment="1" applyProtection="1">
      <alignment horizontal="center" vertical="top" wrapText="1"/>
      <protection locked="0"/>
    </xf>
    <xf numFmtId="0" fontId="4" fillId="0" borderId="60" xfId="0" applyNumberFormat="1" applyFont="1" applyFill="1" applyBorder="1" applyAlignment="1" applyProtection="1">
      <alignment horizontal="center" vertical="top" wrapText="1" shrinkToFit="1"/>
      <protection locked="0"/>
    </xf>
    <xf numFmtId="0" fontId="4" fillId="0" borderId="57" xfId="0" applyNumberFormat="1" applyFont="1" applyFill="1" applyBorder="1" applyAlignment="1" applyProtection="1">
      <alignment horizontal="center" vertical="top" wrapText="1" shrinkToFit="1"/>
      <protection locked="0"/>
    </xf>
    <xf numFmtId="0" fontId="4" fillId="0" borderId="61" xfId="0" applyNumberFormat="1" applyFont="1" applyFill="1" applyBorder="1" applyAlignment="1" applyProtection="1">
      <alignment horizontal="center" vertical="top" wrapText="1" shrinkToFit="1"/>
      <protection locked="0"/>
    </xf>
    <xf numFmtId="164" fontId="7" fillId="0" borderId="62" xfId="0" applyNumberFormat="1" applyFont="1" applyFill="1" applyBorder="1" applyAlignment="1" applyProtection="1">
      <alignment vertical="top" wrapText="1" readingOrder="1"/>
      <protection locked="0"/>
    </xf>
    <xf numFmtId="164" fontId="7" fillId="0" borderId="63" xfId="0" applyNumberFormat="1" applyFont="1" applyFill="1" applyBorder="1" applyAlignment="1" applyProtection="1">
      <alignment vertical="top" wrapText="1" readingOrder="1"/>
      <protection locked="0"/>
    </xf>
    <xf numFmtId="164" fontId="7" fillId="0" borderId="60" xfId="0" applyNumberFormat="1" applyFont="1" applyFill="1" applyBorder="1" applyAlignment="1" applyProtection="1">
      <alignment vertical="top" wrapText="1" readingOrder="1"/>
      <protection locked="0"/>
    </xf>
    <xf numFmtId="49" fontId="7" fillId="0" borderId="43" xfId="0" applyNumberFormat="1" applyFont="1" applyFill="1" applyBorder="1" applyAlignment="1" applyProtection="1">
      <alignment horizontal="center" vertical="top" wrapText="1" readingOrder="1"/>
      <protection locked="0"/>
    </xf>
    <xf numFmtId="0" fontId="4" fillId="0" borderId="62" xfId="0" applyFont="1" applyFill="1" applyBorder="1" applyAlignment="1" applyProtection="1">
      <alignment horizontal="center" vertical="center" wrapText="1" readingOrder="1"/>
      <protection locked="0"/>
    </xf>
    <xf numFmtId="0" fontId="10" fillId="0" borderId="5" xfId="0" applyNumberFormat="1" applyFont="1" applyFill="1" applyBorder="1" applyAlignment="1" applyProtection="1">
      <alignment horizontal="center" vertical="top"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top" wrapText="1"/>
    </xf>
    <xf numFmtId="0" fontId="4" fillId="0" borderId="4" xfId="0" applyFont="1" applyFill="1" applyBorder="1" applyAlignment="1">
      <alignment horizontal="center" vertical="top" wrapText="1"/>
    </xf>
    <xf numFmtId="49" fontId="12" fillId="0" borderId="27"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readingOrder="1"/>
      <protection locked="0"/>
    </xf>
    <xf numFmtId="0" fontId="4" fillId="0" borderId="2" xfId="0" applyFont="1" applyFill="1" applyBorder="1" applyAlignment="1" applyProtection="1">
      <alignment horizontal="center" vertical="top" wrapText="1" readingOrder="1"/>
      <protection locked="0"/>
    </xf>
    <xf numFmtId="0" fontId="3" fillId="0" borderId="6" xfId="0" applyNumberFormat="1" applyFont="1" applyFill="1" applyBorder="1" applyAlignment="1" applyProtection="1">
      <alignment horizontal="center" vertical="top" wrapText="1" shrinkToFit="1"/>
      <protection locked="0"/>
    </xf>
    <xf numFmtId="0" fontId="4" fillId="0" borderId="11" xfId="0" applyFont="1" applyFill="1" applyBorder="1" applyAlignment="1" applyProtection="1">
      <alignment horizontal="center" vertical="top" wrapText="1" readingOrder="1"/>
      <protection locked="0"/>
    </xf>
    <xf numFmtId="0" fontId="4" fillId="0" borderId="7" xfId="0" applyFont="1" applyFill="1" applyBorder="1" applyAlignment="1" applyProtection="1">
      <alignment horizontal="center" vertical="top" wrapText="1" readingOrder="1"/>
      <protection locked="0"/>
    </xf>
    <xf numFmtId="0" fontId="7" fillId="0" borderId="11" xfId="0" applyFont="1" applyFill="1" applyBorder="1" applyAlignment="1" applyProtection="1">
      <alignment horizontal="left" vertical="top" wrapText="1" readingOrder="1"/>
      <protection locked="0"/>
    </xf>
    <xf numFmtId="0" fontId="4" fillId="0" borderId="2" xfId="0" applyFont="1" applyFill="1" applyBorder="1" applyAlignment="1" applyProtection="1">
      <alignment horizontal="left" vertical="top" wrapText="1" readingOrder="1"/>
      <protection locked="0"/>
    </xf>
    <xf numFmtId="0" fontId="4" fillId="0" borderId="1" xfId="0" applyFont="1" applyFill="1" applyBorder="1" applyAlignment="1" applyProtection="1">
      <alignment horizontal="left" vertical="top" wrapText="1" readingOrder="1"/>
      <protection locked="0"/>
    </xf>
    <xf numFmtId="0" fontId="7" fillId="0" borderId="6" xfId="0" applyFont="1" applyFill="1" applyBorder="1" applyAlignment="1" applyProtection="1">
      <alignment horizontal="left" vertical="top" wrapText="1" readingOrder="1"/>
      <protection locked="0"/>
    </xf>
    <xf numFmtId="0" fontId="4" fillId="0" borderId="6" xfId="0" applyFont="1" applyFill="1" applyBorder="1" applyAlignment="1" applyProtection="1">
      <alignment horizontal="center" vertical="top" wrapText="1" readingOrder="1"/>
      <protection locked="0"/>
    </xf>
    <xf numFmtId="0" fontId="4" fillId="0" borderId="1" xfId="0" applyFont="1" applyFill="1" applyBorder="1" applyAlignment="1" applyProtection="1">
      <alignment horizontal="center" vertical="top" wrapText="1" readingOrder="1"/>
      <protection locked="0"/>
    </xf>
    <xf numFmtId="0" fontId="3" fillId="0" borderId="1" xfId="0" applyNumberFormat="1" applyFont="1" applyFill="1" applyBorder="1" applyAlignment="1" applyProtection="1">
      <alignment horizontal="center" vertical="center" wrapText="1" shrinkToFit="1"/>
      <protection locked="0"/>
    </xf>
    <xf numFmtId="0" fontId="3" fillId="0" borderId="4" xfId="0" applyNumberFormat="1" applyFont="1" applyFill="1" applyBorder="1" applyAlignment="1" applyProtection="1">
      <alignment horizontal="center" vertical="top" wrapText="1" shrinkToFit="1"/>
      <protection locked="0"/>
    </xf>
    <xf numFmtId="0" fontId="3" fillId="0" borderId="9" xfId="0" applyNumberFormat="1" applyFont="1" applyFill="1" applyBorder="1" applyAlignment="1" applyProtection="1">
      <alignment horizontal="center" vertical="top" wrapText="1" shrinkToFit="1"/>
      <protection locked="0"/>
    </xf>
    <xf numFmtId="14" fontId="3" fillId="0" borderId="2" xfId="0" applyNumberFormat="1" applyFont="1" applyFill="1" applyBorder="1" applyAlignment="1" applyProtection="1">
      <alignment horizontal="center" vertical="top" wrapText="1" shrinkToFit="1"/>
      <protection locked="0"/>
    </xf>
    <xf numFmtId="0" fontId="3" fillId="0" borderId="2" xfId="0" applyNumberFormat="1" applyFont="1" applyFill="1" applyBorder="1" applyAlignment="1" applyProtection="1">
      <alignment horizontal="center" vertical="top" wrapText="1" shrinkToFit="1"/>
      <protection locked="0"/>
    </xf>
    <xf numFmtId="0" fontId="7" fillId="0" borderId="2" xfId="0" applyFont="1" applyFill="1" applyBorder="1" applyAlignment="1" applyProtection="1">
      <alignment horizontal="left" vertical="top" wrapText="1" readingOrder="1"/>
      <protection locked="0"/>
    </xf>
    <xf numFmtId="0" fontId="3" fillId="0" borderId="1" xfId="0" applyNumberFormat="1" applyFont="1" applyFill="1" applyBorder="1" applyAlignment="1" applyProtection="1">
      <alignment horizontal="center" vertical="top" wrapText="1" shrinkToFit="1"/>
      <protection locked="0"/>
    </xf>
    <xf numFmtId="0" fontId="4" fillId="0" borderId="62" xfId="0" applyFont="1" applyFill="1" applyBorder="1" applyAlignment="1" applyProtection="1">
      <alignment horizontal="center" vertical="top" wrapText="1" readingOrder="1"/>
      <protection locked="0"/>
    </xf>
    <xf numFmtId="0" fontId="3" fillId="0" borderId="11" xfId="0" applyNumberFormat="1" applyFont="1" applyFill="1" applyBorder="1" applyAlignment="1" applyProtection="1">
      <alignment horizontal="center" vertical="top" wrapText="1" shrinkToFit="1"/>
      <protection locked="0"/>
    </xf>
    <xf numFmtId="0" fontId="7" fillId="0" borderId="7" xfId="0" applyFont="1" applyFill="1" applyBorder="1" applyAlignment="1" applyProtection="1">
      <alignment horizontal="left" vertical="top" wrapText="1" readingOrder="1"/>
      <protection locked="0"/>
    </xf>
    <xf numFmtId="0" fontId="7" fillId="0" borderId="11" xfId="0" applyFont="1" applyFill="1" applyBorder="1" applyAlignment="1" applyProtection="1">
      <alignment horizontal="center" vertical="top" wrapText="1" readingOrder="1"/>
      <protection locked="0"/>
    </xf>
    <xf numFmtId="0" fontId="7" fillId="0" borderId="7" xfId="0" applyFont="1" applyFill="1" applyBorder="1" applyAlignment="1" applyProtection="1">
      <alignment horizontal="center" vertical="top" wrapText="1" readingOrder="1"/>
      <protection locked="0"/>
    </xf>
    <xf numFmtId="0" fontId="4" fillId="0" borderId="4" xfId="0" applyFont="1" applyFill="1" applyBorder="1" applyAlignment="1" applyProtection="1">
      <alignment horizontal="left" vertical="top" wrapText="1" readingOrder="1"/>
      <protection locked="0"/>
    </xf>
    <xf numFmtId="0" fontId="4" fillId="0" borderId="2" xfId="0" applyNumberFormat="1" applyFont="1" applyFill="1" applyBorder="1" applyAlignment="1" applyProtection="1">
      <alignment horizontal="center" vertical="top" wrapText="1" shrinkToFit="1"/>
      <protection locked="0"/>
    </xf>
    <xf numFmtId="0" fontId="4" fillId="0" borderId="4" xfId="0" applyFont="1" applyFill="1" applyBorder="1" applyAlignment="1" applyProtection="1">
      <alignment horizontal="center" vertical="top" wrapText="1" readingOrder="1"/>
      <protection locked="0"/>
    </xf>
    <xf numFmtId="0" fontId="6" fillId="0" borderId="11" xfId="0" applyNumberFormat="1" applyFont="1" applyFill="1" applyBorder="1" applyAlignment="1" applyProtection="1">
      <alignment horizontal="center" vertical="top" wrapText="1" shrinkToFit="1"/>
      <protection locked="0"/>
    </xf>
    <xf numFmtId="0" fontId="6" fillId="0" borderId="2" xfId="0" applyNumberFormat="1" applyFont="1" applyFill="1" applyBorder="1" applyAlignment="1" applyProtection="1">
      <alignment horizontal="center" vertical="top" wrapText="1" shrinkToFit="1"/>
      <protection locked="0"/>
    </xf>
    <xf numFmtId="0" fontId="6" fillId="0" borderId="7" xfId="0" applyNumberFormat="1" applyFont="1" applyFill="1" applyBorder="1" applyAlignment="1" applyProtection="1">
      <alignment horizontal="center" vertical="top" wrapText="1" shrinkToFit="1"/>
      <protection locked="0"/>
    </xf>
    <xf numFmtId="0" fontId="3" fillId="0" borderId="5" xfId="0" applyNumberFormat="1" applyFont="1" applyFill="1" applyBorder="1" applyAlignment="1" applyProtection="1">
      <alignment horizontal="center" vertical="top" wrapText="1" shrinkToFit="1"/>
      <protection locked="0"/>
    </xf>
    <xf numFmtId="0" fontId="6" fillId="0" borderId="16" xfId="0" applyNumberFormat="1" applyFont="1" applyFill="1" applyBorder="1" applyAlignment="1" applyProtection="1">
      <alignment horizontal="center" vertical="top" wrapText="1"/>
    </xf>
    <xf numFmtId="0" fontId="4" fillId="0" borderId="16" xfId="0" applyNumberFormat="1" applyFont="1" applyFill="1" applyBorder="1" applyAlignment="1" applyProtection="1">
      <alignment horizontal="center" vertical="top" wrapText="1" shrinkToFit="1"/>
      <protection locked="0"/>
    </xf>
    <xf numFmtId="0" fontId="4" fillId="0" borderId="1" xfId="0" applyFont="1" applyFill="1" applyBorder="1" applyAlignment="1" applyProtection="1">
      <alignment horizontal="center" vertical="top" wrapText="1"/>
      <protection locked="0"/>
    </xf>
    <xf numFmtId="0" fontId="3" fillId="0" borderId="16" xfId="0" applyNumberFormat="1" applyFont="1" applyFill="1" applyBorder="1" applyAlignment="1" applyProtection="1">
      <alignment horizontal="center" vertical="top" wrapText="1" shrinkToFit="1"/>
      <protection locked="0"/>
    </xf>
    <xf numFmtId="14" fontId="3" fillId="0" borderId="6" xfId="0" applyNumberFormat="1" applyFont="1" applyFill="1" applyBorder="1" applyAlignment="1" applyProtection="1">
      <alignment horizontal="center" vertical="top" wrapText="1" shrinkToFit="1"/>
      <protection locked="0"/>
    </xf>
    <xf numFmtId="14" fontId="3" fillId="0" borderId="1" xfId="0" applyNumberFormat="1" applyFont="1" applyFill="1" applyBorder="1" applyAlignment="1" applyProtection="1">
      <alignment horizontal="center" vertical="top" wrapText="1" shrinkToFit="1"/>
      <protection locked="0"/>
    </xf>
    <xf numFmtId="0" fontId="3" fillId="0" borderId="2" xfId="0" applyNumberFormat="1" applyFont="1" applyFill="1" applyBorder="1" applyAlignment="1" applyProtection="1">
      <alignment horizontal="center" vertical="center" wrapText="1" shrinkToFit="1"/>
      <protection locked="0"/>
    </xf>
    <xf numFmtId="49" fontId="7" fillId="0" borderId="5" xfId="0" applyNumberFormat="1" applyFont="1" applyFill="1" applyBorder="1" applyAlignment="1" applyProtection="1">
      <alignment horizontal="center" vertical="top" wrapText="1" readingOrder="1"/>
      <protection locked="0"/>
    </xf>
    <xf numFmtId="0" fontId="7" fillId="0" borderId="5" xfId="0" applyFont="1" applyFill="1" applyBorder="1" applyAlignment="1" applyProtection="1">
      <alignment horizontal="center" vertical="top" wrapText="1" readingOrder="1"/>
      <protection locked="0"/>
    </xf>
    <xf numFmtId="0" fontId="4" fillId="0" borderId="5" xfId="0" applyFont="1" applyFill="1" applyBorder="1" applyAlignment="1" applyProtection="1">
      <alignment horizontal="center" vertical="top" wrapText="1" readingOrder="1"/>
      <protection locked="0"/>
    </xf>
    <xf numFmtId="14" fontId="4" fillId="0" borderId="5" xfId="0" applyNumberFormat="1" applyFont="1" applyFill="1" applyBorder="1" applyAlignment="1" applyProtection="1">
      <alignment horizontal="center" vertical="top" wrapText="1" shrinkToFit="1"/>
      <protection locked="0"/>
    </xf>
    <xf numFmtId="0" fontId="3" fillId="0" borderId="10" xfId="0" applyNumberFormat="1" applyFont="1" applyFill="1" applyBorder="1" applyAlignment="1" applyProtection="1">
      <alignment horizontal="center" vertical="top" wrapText="1" shrinkToFit="1"/>
      <protection locked="0"/>
    </xf>
    <xf numFmtId="0" fontId="3" fillId="0" borderId="34" xfId="0" applyNumberFormat="1" applyFont="1" applyFill="1" applyBorder="1" applyAlignment="1" applyProtection="1">
      <alignment horizontal="center" vertical="top" wrapText="1" shrinkToFit="1"/>
      <protection locked="0"/>
    </xf>
    <xf numFmtId="0" fontId="6" fillId="0" borderId="11" xfId="0" applyNumberFormat="1" applyFont="1" applyFill="1" applyBorder="1" applyAlignment="1" applyProtection="1">
      <alignment horizontal="center" vertical="top" wrapText="1"/>
    </xf>
    <xf numFmtId="0" fontId="6" fillId="0" borderId="7" xfId="0" applyNumberFormat="1" applyFont="1" applyFill="1" applyBorder="1" applyAlignment="1" applyProtection="1">
      <alignment horizontal="center" vertical="top" wrapText="1"/>
    </xf>
    <xf numFmtId="0" fontId="3" fillId="0" borderId="7" xfId="0" applyNumberFormat="1" applyFont="1" applyFill="1" applyBorder="1" applyAlignment="1" applyProtection="1">
      <alignment horizontal="center" vertical="top" wrapText="1" shrinkToFit="1"/>
      <protection locked="0"/>
    </xf>
    <xf numFmtId="49" fontId="7" fillId="0" borderId="11" xfId="0" applyNumberFormat="1" applyFont="1" applyFill="1" applyBorder="1" applyAlignment="1" applyProtection="1">
      <alignment horizontal="center" vertical="top" wrapText="1" readingOrder="1"/>
      <protection locked="0"/>
    </xf>
    <xf numFmtId="49" fontId="7" fillId="0" borderId="7" xfId="0" applyNumberFormat="1" applyFont="1" applyFill="1" applyBorder="1" applyAlignment="1" applyProtection="1">
      <alignment horizontal="center" vertical="top" wrapText="1" readingOrder="1"/>
      <protection locked="0"/>
    </xf>
    <xf numFmtId="0" fontId="7" fillId="0" borderId="2" xfId="0" applyFont="1" applyFill="1" applyBorder="1" applyAlignment="1" applyProtection="1">
      <alignment horizontal="center" vertical="top" wrapText="1" readingOrder="1"/>
      <protection locked="0"/>
    </xf>
    <xf numFmtId="0" fontId="7" fillId="0" borderId="1" xfId="0" applyFont="1" applyFill="1" applyBorder="1" applyAlignment="1" applyProtection="1">
      <alignment horizontal="left" vertical="top" wrapText="1" readingOrder="1"/>
      <protection locked="0"/>
    </xf>
    <xf numFmtId="0" fontId="4" fillId="0" borderId="11" xfId="0" applyFont="1" applyFill="1" applyBorder="1" applyAlignment="1" applyProtection="1">
      <alignment horizontal="left" vertical="top" wrapText="1" readingOrder="1"/>
      <protection locked="0"/>
    </xf>
    <xf numFmtId="0" fontId="4" fillId="0" borderId="7" xfId="0" applyFont="1" applyFill="1" applyBorder="1" applyAlignment="1" applyProtection="1">
      <alignment horizontal="left" vertical="top" wrapText="1" readingOrder="1"/>
      <protection locked="0"/>
    </xf>
    <xf numFmtId="49" fontId="4" fillId="0" borderId="6" xfId="0" applyNumberFormat="1" applyFont="1" applyFill="1" applyBorder="1" applyAlignment="1" applyProtection="1">
      <alignment horizontal="center" vertical="top" wrapText="1" readingOrder="1"/>
      <protection locked="0"/>
    </xf>
    <xf numFmtId="49" fontId="4" fillId="0" borderId="1" xfId="0" applyNumberFormat="1" applyFont="1" applyFill="1" applyBorder="1" applyAlignment="1" applyProtection="1">
      <alignment horizontal="center" vertical="top" wrapText="1" readingOrder="1"/>
      <protection locked="0"/>
    </xf>
    <xf numFmtId="0" fontId="3" fillId="0" borderId="44" xfId="0" applyNumberFormat="1" applyFont="1" applyFill="1" applyBorder="1" applyAlignment="1" applyProtection="1">
      <alignment horizontal="center" vertical="top" wrapText="1" shrinkToFit="1"/>
      <protection locked="0"/>
    </xf>
    <xf numFmtId="0" fontId="4" fillId="0" borderId="1" xfId="0" applyNumberFormat="1" applyFont="1" applyFill="1" applyBorder="1" applyAlignment="1" applyProtection="1">
      <alignment horizontal="center" vertical="top" wrapText="1" shrinkToFit="1"/>
      <protection locked="0"/>
    </xf>
    <xf numFmtId="14" fontId="4" fillId="0" borderId="1" xfId="0" applyNumberFormat="1" applyFont="1" applyFill="1" applyBorder="1" applyAlignment="1" applyProtection="1">
      <alignment horizontal="center" vertical="top" wrapText="1" shrinkToFit="1"/>
      <protection locked="0"/>
    </xf>
    <xf numFmtId="0" fontId="7" fillId="0" borderId="36" xfId="0" applyFont="1" applyFill="1" applyBorder="1" applyAlignment="1" applyProtection="1">
      <alignment horizontal="center" vertical="top" wrapText="1" readingOrder="1"/>
      <protection locked="0"/>
    </xf>
    <xf numFmtId="0" fontId="4" fillId="0" borderId="3" xfId="0" applyFont="1" applyFill="1" applyBorder="1" applyAlignment="1" applyProtection="1">
      <alignment horizontal="center" vertical="top" wrapText="1" readingOrder="1"/>
      <protection locked="0"/>
    </xf>
    <xf numFmtId="0" fontId="6" fillId="0" borderId="5" xfId="0" applyNumberFormat="1" applyFont="1" applyFill="1" applyBorder="1" applyAlignment="1" applyProtection="1">
      <alignment horizontal="center" vertical="top" wrapText="1"/>
    </xf>
    <xf numFmtId="0" fontId="3" fillId="0" borderId="14" xfId="0" applyNumberFormat="1" applyFont="1" applyFill="1" applyBorder="1" applyAlignment="1" applyProtection="1">
      <alignment horizontal="center" vertical="top" wrapText="1" shrinkToFit="1"/>
      <protection locked="0"/>
    </xf>
    <xf numFmtId="49" fontId="7" fillId="0" borderId="2" xfId="0" applyNumberFormat="1" applyFont="1" applyFill="1" applyBorder="1" applyAlignment="1" applyProtection="1">
      <alignment horizontal="center" vertical="top" wrapText="1" readingOrder="1"/>
      <protection locked="0"/>
    </xf>
    <xf numFmtId="0" fontId="4" fillId="0" borderId="5" xfId="0" applyNumberFormat="1" applyFont="1" applyFill="1" applyBorder="1" applyAlignment="1" applyProtection="1">
      <alignment horizontal="center" vertical="top" wrapText="1" shrinkToFit="1"/>
      <protection locked="0"/>
    </xf>
    <xf numFmtId="0" fontId="6" fillId="0" borderId="14" xfId="0" applyNumberFormat="1" applyFont="1" applyFill="1" applyBorder="1" applyAlignment="1" applyProtection="1">
      <alignment horizontal="center" vertical="top" wrapText="1" shrinkToFit="1"/>
      <protection locked="0"/>
    </xf>
    <xf numFmtId="0" fontId="6" fillId="0" borderId="1" xfId="0" applyNumberFormat="1" applyFont="1" applyFill="1" applyBorder="1" applyAlignment="1" applyProtection="1">
      <alignment horizontal="center" vertical="top" wrapText="1" shrinkToFit="1"/>
      <protection locked="0"/>
    </xf>
    <xf numFmtId="0" fontId="7" fillId="0" borderId="6" xfId="0" applyFont="1" applyFill="1" applyBorder="1" applyAlignment="1" applyProtection="1">
      <alignment horizontal="center" vertical="top" wrapText="1" readingOrder="1"/>
      <protection locked="0"/>
    </xf>
    <xf numFmtId="0" fontId="7" fillId="0" borderId="1" xfId="0" applyFont="1" applyFill="1" applyBorder="1" applyAlignment="1" applyProtection="1">
      <alignment horizontal="center" vertical="top" wrapText="1" readingOrder="1"/>
      <protection locked="0"/>
    </xf>
    <xf numFmtId="0" fontId="6" fillId="0" borderId="1" xfId="0" applyNumberFormat="1" applyFont="1" applyFill="1" applyBorder="1" applyAlignment="1" applyProtection="1">
      <alignment horizontal="center" vertical="top" wrapText="1"/>
    </xf>
    <xf numFmtId="0" fontId="7" fillId="0" borderId="16" xfId="0" applyFont="1" applyFill="1" applyBorder="1" applyAlignment="1" applyProtection="1">
      <alignment horizontal="center" vertical="top" wrapText="1" readingOrder="1"/>
      <protection locked="0"/>
    </xf>
    <xf numFmtId="0" fontId="4" fillId="0" borderId="6" xfId="0" applyNumberFormat="1" applyFont="1" applyFill="1" applyBorder="1" applyAlignment="1" applyProtection="1">
      <alignment horizontal="center" vertical="top" wrapText="1" shrinkToFit="1"/>
      <protection locked="0"/>
    </xf>
    <xf numFmtId="14" fontId="3" fillId="0" borderId="11" xfId="0" applyNumberFormat="1" applyFont="1" applyFill="1" applyBorder="1" applyAlignment="1" applyProtection="1">
      <alignment horizontal="center" vertical="top" wrapText="1" shrinkToFit="1"/>
      <protection locked="0"/>
    </xf>
    <xf numFmtId="14" fontId="3" fillId="0" borderId="7" xfId="0" applyNumberFormat="1" applyFont="1" applyFill="1" applyBorder="1" applyAlignment="1" applyProtection="1">
      <alignment horizontal="center" vertical="top" wrapText="1" shrinkToFit="1"/>
      <protection locked="0"/>
    </xf>
    <xf numFmtId="0" fontId="3" fillId="0" borderId="18" xfId="0" applyNumberFormat="1" applyFont="1" applyFill="1" applyBorder="1" applyAlignment="1" applyProtection="1">
      <alignment horizontal="center" vertical="top" wrapText="1" shrinkToFit="1"/>
      <protection locked="0"/>
    </xf>
    <xf numFmtId="0" fontId="4" fillId="0" borderId="4" xfId="0" applyNumberFormat="1" applyFont="1" applyFill="1" applyBorder="1" applyAlignment="1" applyProtection="1">
      <alignment horizontal="center" vertical="top" wrapText="1" shrinkToFit="1"/>
      <protection locked="0"/>
    </xf>
    <xf numFmtId="14" fontId="4" fillId="0" borderId="6" xfId="0" applyNumberFormat="1" applyFont="1" applyFill="1" applyBorder="1" applyAlignment="1" applyProtection="1">
      <alignment horizontal="center" vertical="top" wrapText="1" shrinkToFit="1"/>
      <protection locked="0"/>
    </xf>
    <xf numFmtId="14" fontId="4" fillId="0" borderId="4" xfId="0" applyNumberFormat="1" applyFont="1" applyFill="1" applyBorder="1" applyAlignment="1" applyProtection="1">
      <alignment horizontal="center" vertical="top" wrapText="1" shrinkToFit="1"/>
      <protection locked="0"/>
    </xf>
    <xf numFmtId="49" fontId="4" fillId="0" borderId="2" xfId="0" applyNumberFormat="1" applyFont="1" applyFill="1" applyBorder="1" applyAlignment="1" applyProtection="1">
      <alignment horizontal="center" vertical="center" wrapText="1" readingOrder="1"/>
      <protection locked="0"/>
    </xf>
    <xf numFmtId="0" fontId="4" fillId="0" borderId="20" xfId="0" applyFont="1" applyFill="1" applyBorder="1" applyAlignment="1" applyProtection="1">
      <alignment horizontal="center" vertical="top" wrapText="1" readingOrder="1"/>
      <protection locked="0"/>
    </xf>
    <xf numFmtId="0" fontId="4" fillId="0" borderId="16" xfId="0" applyFont="1" applyFill="1" applyBorder="1" applyAlignment="1" applyProtection="1">
      <alignment horizontal="center" vertical="top" wrapText="1" readingOrder="1"/>
      <protection locked="0"/>
    </xf>
    <xf numFmtId="49" fontId="4" fillId="0" borderId="11" xfId="0" applyNumberFormat="1" applyFont="1" applyFill="1" applyBorder="1" applyAlignment="1" applyProtection="1">
      <alignment horizontal="center" vertical="top" wrapText="1" readingOrder="1"/>
      <protection locked="0"/>
    </xf>
    <xf numFmtId="49" fontId="4" fillId="0" borderId="2" xfId="0" applyNumberFormat="1" applyFont="1" applyFill="1" applyBorder="1" applyAlignment="1" applyProtection="1">
      <alignment horizontal="center" vertical="top" wrapText="1" readingOrder="1"/>
      <protection locked="0"/>
    </xf>
    <xf numFmtId="0" fontId="6" fillId="0" borderId="2" xfId="0" applyNumberFormat="1" applyFont="1" applyFill="1" applyBorder="1" applyAlignment="1" applyProtection="1">
      <alignment horizontal="center" vertical="top" wrapText="1"/>
    </xf>
    <xf numFmtId="49" fontId="4" fillId="0" borderId="4" xfId="0" applyNumberFormat="1" applyFont="1" applyFill="1" applyBorder="1" applyAlignment="1" applyProtection="1">
      <alignment horizontal="center" vertical="top" wrapText="1" readingOrder="1"/>
      <protection locked="0"/>
    </xf>
    <xf numFmtId="49" fontId="4" fillId="0" borderId="29" xfId="0" applyNumberFormat="1" applyFont="1" applyFill="1" applyBorder="1" applyAlignment="1" applyProtection="1">
      <alignment horizontal="center" vertical="top" wrapText="1" readingOrder="1"/>
      <protection locked="0"/>
    </xf>
    <xf numFmtId="0" fontId="4" fillId="0" borderId="28" xfId="0" applyFont="1" applyFill="1" applyBorder="1" applyAlignment="1" applyProtection="1">
      <alignment horizontal="center" vertical="top" wrapText="1" readingOrder="1"/>
      <protection locked="0"/>
    </xf>
    <xf numFmtId="0" fontId="4" fillId="0" borderId="11" xfId="0" applyNumberFormat="1" applyFont="1" applyFill="1" applyBorder="1" applyAlignment="1" applyProtection="1">
      <alignment horizontal="center" vertical="center" wrapText="1" shrinkToFit="1"/>
      <protection locked="0"/>
    </xf>
    <xf numFmtId="49" fontId="0" fillId="0" borderId="0" xfId="0" applyNumberFormat="1"/>
    <xf numFmtId="49" fontId="0" fillId="0" borderId="5" xfId="0" applyNumberFormat="1" applyBorder="1"/>
    <xf numFmtId="0" fontId="0" fillId="0" borderId="5" xfId="0" applyBorder="1"/>
    <xf numFmtId="167" fontId="0" fillId="0" borderId="5" xfId="0" applyNumberFormat="1" applyBorder="1"/>
    <xf numFmtId="49" fontId="0" fillId="0" borderId="0" xfId="0" applyNumberFormat="1" applyAlignment="1">
      <alignment horizontal="right"/>
    </xf>
    <xf numFmtId="49" fontId="1" fillId="0" borderId="5" xfId="0" applyNumberFormat="1" applyFont="1" applyBorder="1" applyAlignment="1">
      <alignment horizontal="center"/>
    </xf>
    <xf numFmtId="49" fontId="0" fillId="0" borderId="5" xfId="0" applyNumberFormat="1" applyBorder="1" applyAlignment="1">
      <alignment horizontal="center"/>
    </xf>
    <xf numFmtId="49" fontId="0" fillId="0" borderId="5" xfId="0" applyNumberFormat="1" applyBorder="1" applyAlignment="1">
      <alignment horizontal="center" wrapText="1"/>
    </xf>
    <xf numFmtId="0" fontId="0" fillId="0" borderId="5" xfId="0" applyFill="1" applyBorder="1"/>
    <xf numFmtId="167" fontId="0" fillId="0" borderId="5" xfId="0" applyNumberFormat="1" applyFill="1" applyBorder="1"/>
    <xf numFmtId="164" fontId="4" fillId="0" borderId="33" xfId="0" applyNumberFormat="1" applyFont="1" applyFill="1" applyBorder="1" applyAlignment="1" applyProtection="1">
      <alignment vertical="top" wrapText="1" readingOrder="1"/>
      <protection locked="0"/>
    </xf>
    <xf numFmtId="49" fontId="4" fillId="0" borderId="51" xfId="0" applyNumberFormat="1" applyFont="1" applyFill="1" applyBorder="1" applyAlignment="1" applyProtection="1">
      <alignment horizontal="center" vertical="top" wrapText="1" readingOrder="1"/>
      <protection locked="0"/>
    </xf>
    <xf numFmtId="166" fontId="4" fillId="0" borderId="51" xfId="0" applyNumberFormat="1" applyFont="1" applyFill="1" applyBorder="1" applyAlignment="1" applyProtection="1">
      <alignment vertical="top" wrapText="1" readingOrder="1"/>
      <protection locked="0"/>
    </xf>
    <xf numFmtId="49" fontId="4" fillId="0" borderId="33" xfId="0" applyNumberFormat="1" applyFont="1" applyFill="1" applyBorder="1" applyAlignment="1" applyProtection="1">
      <alignment horizontal="center" vertical="top" wrapText="1" readingOrder="1"/>
      <protection locked="0"/>
    </xf>
    <xf numFmtId="0" fontId="4" fillId="0" borderId="1" xfId="0" applyFont="1" applyFill="1" applyBorder="1" applyAlignment="1" applyProtection="1">
      <alignment vertical="top" wrapText="1"/>
      <protection locked="0"/>
    </xf>
    <xf numFmtId="49" fontId="4" fillId="0" borderId="2" xfId="0" applyNumberFormat="1" applyFont="1" applyFill="1" applyBorder="1" applyAlignment="1" applyProtection="1">
      <alignment horizontal="center" vertical="top" wrapText="1" readingOrder="1"/>
      <protection locked="0"/>
    </xf>
    <xf numFmtId="0" fontId="4" fillId="0" borderId="2" xfId="0" applyFont="1" applyFill="1" applyBorder="1" applyAlignment="1" applyProtection="1">
      <alignment horizontal="center" vertical="top" wrapText="1" readingOrder="1"/>
      <protection locked="0"/>
    </xf>
    <xf numFmtId="0" fontId="3" fillId="0" borderId="6" xfId="0" applyNumberFormat="1" applyFont="1" applyFill="1" applyBorder="1" applyAlignment="1" applyProtection="1">
      <alignment horizontal="center" vertical="top" wrapText="1" shrinkToFit="1"/>
      <protection locked="0"/>
    </xf>
    <xf numFmtId="0" fontId="1" fillId="0" borderId="1" xfId="0" applyFont="1" applyFill="1" applyBorder="1"/>
    <xf numFmtId="0" fontId="4" fillId="0" borderId="11" xfId="0" applyFont="1" applyFill="1" applyBorder="1" applyAlignment="1" applyProtection="1">
      <alignment horizontal="center" vertical="top" wrapText="1" readingOrder="1"/>
      <protection locked="0"/>
    </xf>
    <xf numFmtId="0" fontId="4" fillId="0" borderId="7" xfId="0" applyFont="1" applyFill="1" applyBorder="1" applyAlignment="1" applyProtection="1">
      <alignment horizontal="center" vertical="top" wrapText="1" readingOrder="1"/>
      <protection locked="0"/>
    </xf>
    <xf numFmtId="0" fontId="4" fillId="0" borderId="6" xfId="0" applyFont="1" applyFill="1" applyBorder="1" applyAlignment="1" applyProtection="1">
      <alignment horizontal="center" vertical="top" wrapText="1" readingOrder="1"/>
      <protection locked="0"/>
    </xf>
    <xf numFmtId="0" fontId="4" fillId="0" borderId="4" xfId="0" applyFont="1" applyFill="1" applyBorder="1" applyAlignment="1" applyProtection="1">
      <alignment horizontal="center" vertical="top" wrapText="1" readingOrder="1"/>
      <protection locked="0"/>
    </xf>
    <xf numFmtId="0" fontId="4" fillId="0" borderId="5" xfId="0" applyFont="1" applyFill="1" applyBorder="1" applyAlignment="1" applyProtection="1">
      <alignment horizontal="center" vertical="top" wrapText="1" readingOrder="1"/>
      <protection locked="0"/>
    </xf>
    <xf numFmtId="0" fontId="4" fillId="0" borderId="6" xfId="0" applyNumberFormat="1" applyFont="1" applyFill="1" applyBorder="1" applyAlignment="1" applyProtection="1">
      <alignment horizontal="center" vertical="top" wrapText="1" shrinkToFit="1"/>
      <protection locked="0"/>
    </xf>
    <xf numFmtId="0" fontId="4" fillId="0" borderId="1" xfId="0" applyNumberFormat="1" applyFont="1" applyFill="1" applyBorder="1" applyAlignment="1" applyProtection="1">
      <alignment horizontal="center" vertical="top" wrapText="1" shrinkToFit="1"/>
      <protection locked="0"/>
    </xf>
    <xf numFmtId="0" fontId="4" fillId="0" borderId="4" xfId="0" applyNumberFormat="1" applyFont="1" applyFill="1" applyBorder="1" applyAlignment="1" applyProtection="1">
      <alignment horizontal="center" vertical="top" wrapText="1" shrinkToFit="1"/>
      <protection locked="0"/>
    </xf>
    <xf numFmtId="0" fontId="3" fillId="0" borderId="2" xfId="0" applyNumberFormat="1" applyFont="1" applyFill="1" applyBorder="1" applyAlignment="1" applyProtection="1">
      <alignment horizontal="center" vertical="top" wrapText="1" shrinkToFit="1"/>
      <protection locked="0"/>
    </xf>
    <xf numFmtId="0" fontId="3" fillId="0" borderId="4" xfId="0" applyNumberFormat="1" applyFont="1" applyFill="1" applyBorder="1" applyAlignment="1" applyProtection="1">
      <alignment horizontal="center" vertical="top" wrapText="1" shrinkToFit="1"/>
      <protection locked="0"/>
    </xf>
    <xf numFmtId="0" fontId="3" fillId="0" borderId="1" xfId="0" applyNumberFormat="1" applyFont="1" applyFill="1" applyBorder="1" applyAlignment="1" applyProtection="1">
      <alignment horizontal="center" vertical="top" wrapText="1" shrinkToFit="1"/>
      <protection locked="0"/>
    </xf>
    <xf numFmtId="0" fontId="3" fillId="0" borderId="11" xfId="0" applyNumberFormat="1" applyFont="1" applyFill="1" applyBorder="1" applyAlignment="1" applyProtection="1">
      <alignment horizontal="center" vertical="top" wrapText="1" shrinkToFit="1"/>
      <protection locked="0"/>
    </xf>
    <xf numFmtId="0" fontId="3" fillId="0" borderId="23" xfId="0" applyNumberFormat="1" applyFont="1" applyFill="1" applyBorder="1" applyAlignment="1" applyProtection="1">
      <alignment horizontal="center" vertical="top" wrapText="1" shrinkToFit="1"/>
      <protection locked="0"/>
    </xf>
    <xf numFmtId="14" fontId="3" fillId="0" borderId="11" xfId="0" applyNumberFormat="1" applyFont="1" applyFill="1" applyBorder="1" applyAlignment="1" applyProtection="1">
      <alignment horizontal="center" vertical="top" wrapText="1" shrinkToFit="1"/>
      <protection locked="0"/>
    </xf>
    <xf numFmtId="14" fontId="3" fillId="0" borderId="2" xfId="0" applyNumberFormat="1" applyFont="1" applyFill="1" applyBorder="1" applyAlignment="1" applyProtection="1">
      <alignment horizontal="center" vertical="top" wrapText="1" shrinkToFit="1"/>
      <protection locked="0"/>
    </xf>
    <xf numFmtId="14" fontId="3" fillId="0" borderId="23" xfId="0" applyNumberFormat="1" applyFont="1" applyFill="1" applyBorder="1" applyAlignment="1" applyProtection="1">
      <alignment horizontal="center" vertical="top" wrapText="1" shrinkToFit="1"/>
      <protection locked="0"/>
    </xf>
    <xf numFmtId="0" fontId="4" fillId="0" borderId="62" xfId="0" applyFont="1" applyFill="1" applyBorder="1" applyAlignment="1" applyProtection="1">
      <alignment horizontal="center" vertical="top" wrapText="1" readingOrder="1"/>
      <protection locked="0"/>
    </xf>
    <xf numFmtId="0" fontId="4" fillId="0" borderId="36" xfId="0" applyFont="1" applyFill="1" applyBorder="1" applyAlignment="1" applyProtection="1">
      <alignment horizontal="left" vertical="top" wrapText="1" readingOrder="1"/>
      <protection locked="0"/>
    </xf>
    <xf numFmtId="0" fontId="4" fillId="0" borderId="2" xfId="0" applyFont="1" applyFill="1" applyBorder="1" applyAlignment="1" applyProtection="1">
      <alignment horizontal="left" vertical="top" wrapText="1" readingOrder="1"/>
      <protection locked="0"/>
    </xf>
    <xf numFmtId="0" fontId="7" fillId="0" borderId="11" xfId="0" applyFont="1" applyFill="1" applyBorder="1" applyAlignment="1" applyProtection="1">
      <alignment horizontal="left" vertical="top" wrapText="1" readingOrder="1"/>
      <protection locked="0"/>
    </xf>
    <xf numFmtId="0" fontId="7" fillId="0" borderId="2" xfId="0" applyFont="1" applyFill="1" applyBorder="1" applyAlignment="1" applyProtection="1">
      <alignment horizontal="left" vertical="top" wrapText="1" readingOrder="1"/>
      <protection locked="0"/>
    </xf>
    <xf numFmtId="0" fontId="7" fillId="0" borderId="7" xfId="0" applyFont="1" applyFill="1" applyBorder="1" applyAlignment="1" applyProtection="1">
      <alignment horizontal="left" vertical="top" wrapText="1" readingOrder="1"/>
      <protection locked="0"/>
    </xf>
    <xf numFmtId="0" fontId="3" fillId="0" borderId="2" xfId="0" applyNumberFormat="1" applyFont="1" applyFill="1" applyBorder="1" applyAlignment="1" applyProtection="1">
      <alignment horizontal="center" vertical="center" wrapText="1" shrinkToFit="1"/>
      <protection locked="0"/>
    </xf>
    <xf numFmtId="0" fontId="7" fillId="0" borderId="11" xfId="0" applyFont="1" applyFill="1" applyBorder="1" applyAlignment="1" applyProtection="1">
      <alignment horizontal="center" vertical="top" wrapText="1" readingOrder="1"/>
      <protection locked="0"/>
    </xf>
    <xf numFmtId="0" fontId="7" fillId="0" borderId="7" xfId="0" applyFont="1" applyFill="1" applyBorder="1" applyAlignment="1" applyProtection="1">
      <alignment horizontal="center" vertical="top" wrapText="1" readingOrder="1"/>
      <protection locked="0"/>
    </xf>
    <xf numFmtId="0" fontId="3" fillId="0" borderId="16" xfId="0" applyNumberFormat="1" applyFont="1" applyFill="1" applyBorder="1" applyAlignment="1" applyProtection="1">
      <alignment horizontal="center" vertical="top" wrapText="1" shrinkToFit="1"/>
      <protection locked="0"/>
    </xf>
    <xf numFmtId="0" fontId="4" fillId="0" borderId="10" xfId="0" applyFont="1" applyFill="1" applyBorder="1" applyAlignment="1" applyProtection="1">
      <alignment horizontal="center" vertical="top" wrapText="1"/>
      <protection locked="0"/>
    </xf>
    <xf numFmtId="0" fontId="4" fillId="0" borderId="62" xfId="0" applyFont="1" applyFill="1" applyBorder="1" applyAlignment="1" applyProtection="1">
      <alignment horizontal="left" vertical="top" wrapText="1" readingOrder="1"/>
      <protection locked="0"/>
    </xf>
    <xf numFmtId="0" fontId="1" fillId="0" borderId="2" xfId="0" applyFont="1" applyFill="1" applyBorder="1" applyAlignment="1">
      <alignment vertical="top"/>
    </xf>
    <xf numFmtId="0" fontId="4" fillId="0" borderId="6" xfId="0" applyFont="1" applyFill="1" applyBorder="1" applyAlignment="1" applyProtection="1">
      <alignment horizontal="left" vertical="top" wrapText="1" readingOrder="1"/>
      <protection locked="0"/>
    </xf>
    <xf numFmtId="0" fontId="4" fillId="0" borderId="4" xfId="0" applyFont="1" applyFill="1" applyBorder="1" applyAlignment="1" applyProtection="1">
      <alignment horizontal="left" vertical="top" wrapText="1" readingOrder="1"/>
      <protection locked="0"/>
    </xf>
    <xf numFmtId="0" fontId="4" fillId="0" borderId="1" xfId="0" applyFont="1" applyFill="1" applyBorder="1" applyAlignment="1" applyProtection="1">
      <alignment horizontal="center" vertical="top" wrapText="1" readingOrder="1"/>
      <protection locked="0"/>
    </xf>
    <xf numFmtId="0" fontId="4" fillId="0" borderId="1" xfId="0" applyFont="1" applyFill="1" applyBorder="1" applyAlignment="1" applyProtection="1">
      <alignment horizontal="left" vertical="top" wrapText="1" readingOrder="1"/>
      <protection locked="0"/>
    </xf>
    <xf numFmtId="0" fontId="7" fillId="0" borderId="6" xfId="0" applyFont="1" applyFill="1" applyBorder="1" applyAlignment="1" applyProtection="1">
      <alignment horizontal="left" vertical="top" wrapText="1" readingOrder="1"/>
      <protection locked="0"/>
    </xf>
    <xf numFmtId="0" fontId="1" fillId="0" borderId="4" xfId="0" applyFont="1" applyFill="1" applyBorder="1"/>
    <xf numFmtId="0" fontId="3" fillId="0" borderId="6" xfId="0" applyNumberFormat="1" applyFont="1" applyFill="1" applyBorder="1" applyAlignment="1" applyProtection="1">
      <alignment horizontal="center" vertical="center" wrapText="1" shrinkToFit="1"/>
      <protection locked="0"/>
    </xf>
    <xf numFmtId="0" fontId="3" fillId="0" borderId="1" xfId="0" applyNumberFormat="1" applyFont="1" applyFill="1" applyBorder="1" applyAlignment="1" applyProtection="1">
      <alignment horizontal="center" vertical="center" wrapText="1" shrinkToFit="1"/>
      <protection locked="0"/>
    </xf>
    <xf numFmtId="0" fontId="4" fillId="0" borderId="8" xfId="0" applyFont="1" applyFill="1" applyBorder="1" applyAlignment="1" applyProtection="1">
      <alignment horizontal="center" vertical="top" wrapText="1"/>
      <protection locked="0"/>
    </xf>
    <xf numFmtId="14" fontId="3" fillId="0" borderId="6" xfId="0" applyNumberFormat="1" applyFont="1" applyFill="1" applyBorder="1" applyAlignment="1" applyProtection="1">
      <alignment horizontal="center" vertical="top" wrapText="1" shrinkToFit="1"/>
      <protection locked="0"/>
    </xf>
    <xf numFmtId="14" fontId="3" fillId="0" borderId="1" xfId="0" applyNumberFormat="1" applyFont="1" applyFill="1" applyBorder="1" applyAlignment="1" applyProtection="1">
      <alignment horizontal="center" vertical="top" wrapText="1" shrinkToFit="1"/>
      <protection locked="0"/>
    </xf>
    <xf numFmtId="0" fontId="4" fillId="0" borderId="2" xfId="0" applyNumberFormat="1" applyFont="1" applyFill="1" applyBorder="1" applyAlignment="1" applyProtection="1">
      <alignment horizontal="center" vertical="top" wrapText="1" shrinkToFit="1"/>
      <protection locked="0"/>
    </xf>
    <xf numFmtId="0" fontId="6" fillId="0" borderId="11" xfId="0" applyNumberFormat="1" applyFont="1" applyFill="1" applyBorder="1" applyAlignment="1" applyProtection="1">
      <alignment horizontal="center" vertical="top" wrapText="1"/>
    </xf>
    <xf numFmtId="0" fontId="6" fillId="0" borderId="2" xfId="0" applyNumberFormat="1" applyFont="1" applyFill="1" applyBorder="1" applyAlignment="1" applyProtection="1">
      <alignment horizontal="center" vertical="top" wrapText="1"/>
    </xf>
    <xf numFmtId="0" fontId="3" fillId="0" borderId="9" xfId="0" applyNumberFormat="1" applyFont="1" applyFill="1" applyBorder="1" applyAlignment="1" applyProtection="1">
      <alignment horizontal="center" vertical="top" wrapText="1" shrinkToFit="1"/>
      <protection locked="0"/>
    </xf>
    <xf numFmtId="0" fontId="3" fillId="0" borderId="0" xfId="0" applyNumberFormat="1" applyFont="1" applyFill="1" applyBorder="1" applyAlignment="1" applyProtection="1">
      <alignment horizontal="center" vertical="top" wrapText="1" shrinkToFit="1"/>
      <protection locked="0"/>
    </xf>
    <xf numFmtId="0" fontId="3" fillId="0" borderId="49" xfId="0" applyNumberFormat="1" applyFont="1" applyFill="1" applyBorder="1" applyAlignment="1" applyProtection="1">
      <alignment horizontal="center" vertical="top" wrapText="1" shrinkToFit="1"/>
      <protection locked="0"/>
    </xf>
    <xf numFmtId="0" fontId="6" fillId="0" borderId="11" xfId="0" applyNumberFormat="1" applyFont="1" applyFill="1" applyBorder="1" applyAlignment="1" applyProtection="1">
      <alignment horizontal="center" vertical="top" wrapText="1" shrinkToFit="1"/>
      <protection locked="0"/>
    </xf>
    <xf numFmtId="0" fontId="6" fillId="0" borderId="2" xfId="0" applyNumberFormat="1" applyFont="1" applyFill="1" applyBorder="1" applyAlignment="1" applyProtection="1">
      <alignment horizontal="center" vertical="top" wrapText="1" shrinkToFit="1"/>
      <protection locked="0"/>
    </xf>
    <xf numFmtId="0" fontId="6" fillId="0" borderId="7" xfId="0" applyNumberFormat="1" applyFont="1" applyFill="1" applyBorder="1" applyAlignment="1" applyProtection="1">
      <alignment horizontal="center" vertical="top" wrapText="1" shrinkToFit="1"/>
      <protection locked="0"/>
    </xf>
    <xf numFmtId="0" fontId="3" fillId="0" borderId="5" xfId="0" applyNumberFormat="1" applyFont="1" applyFill="1" applyBorder="1" applyAlignment="1" applyProtection="1">
      <alignment horizontal="center" vertical="top" wrapText="1" shrinkToFit="1"/>
      <protection locked="0"/>
    </xf>
    <xf numFmtId="0" fontId="7" fillId="0" borderId="5" xfId="0" applyFont="1" applyFill="1" applyBorder="1" applyAlignment="1" applyProtection="1">
      <alignment horizontal="center" vertical="top" wrapText="1" readingOrder="1"/>
      <protection locked="0"/>
    </xf>
    <xf numFmtId="14" fontId="4" fillId="0" borderId="5" xfId="0" applyNumberFormat="1" applyFont="1" applyFill="1" applyBorder="1" applyAlignment="1" applyProtection="1">
      <alignment horizontal="center" vertical="top" wrapText="1" shrinkToFit="1"/>
      <protection locked="0"/>
    </xf>
    <xf numFmtId="0" fontId="3" fillId="0" borderId="10" xfId="0" applyNumberFormat="1" applyFont="1" applyFill="1" applyBorder="1" applyAlignment="1" applyProtection="1">
      <alignment horizontal="center" vertical="top" wrapText="1" shrinkToFit="1"/>
      <protection locked="0"/>
    </xf>
    <xf numFmtId="0" fontId="3" fillId="0" borderId="34" xfId="0" applyNumberFormat="1" applyFont="1" applyFill="1" applyBorder="1" applyAlignment="1" applyProtection="1">
      <alignment horizontal="center" vertical="top" wrapText="1" shrinkToFit="1"/>
      <protection locked="0"/>
    </xf>
    <xf numFmtId="0" fontId="6" fillId="0" borderId="7" xfId="0" applyNumberFormat="1" applyFont="1" applyFill="1" applyBorder="1" applyAlignment="1" applyProtection="1">
      <alignment horizontal="center" vertical="top" wrapText="1"/>
    </xf>
    <xf numFmtId="0" fontId="3" fillId="0" borderId="7" xfId="0" applyNumberFormat="1" applyFont="1" applyFill="1" applyBorder="1" applyAlignment="1" applyProtection="1">
      <alignment horizontal="center" vertical="top" wrapText="1" shrinkToFit="1"/>
      <protection locked="0"/>
    </xf>
    <xf numFmtId="0" fontId="3" fillId="0" borderId="18" xfId="0" applyNumberFormat="1" applyFont="1" applyFill="1" applyBorder="1" applyAlignment="1" applyProtection="1">
      <alignment horizontal="center" vertical="top" wrapText="1" shrinkToFit="1"/>
      <protection locked="0"/>
    </xf>
    <xf numFmtId="0" fontId="4" fillId="0" borderId="5" xfId="0" applyNumberFormat="1" applyFont="1" applyFill="1" applyBorder="1" applyAlignment="1" applyProtection="1">
      <alignment horizontal="center" vertical="top" wrapText="1" shrinkToFit="1"/>
      <protection locked="0"/>
    </xf>
    <xf numFmtId="14" fontId="4" fillId="0" borderId="12" xfId="0" applyNumberFormat="1" applyFont="1" applyFill="1" applyBorder="1" applyAlignment="1" applyProtection="1">
      <alignment horizontal="center" vertical="top" wrapText="1" readingOrder="1"/>
      <protection locked="0"/>
    </xf>
    <xf numFmtId="14" fontId="4" fillId="0" borderId="10" xfId="0" applyNumberFormat="1" applyFont="1" applyFill="1" applyBorder="1" applyAlignment="1" applyProtection="1">
      <alignment horizontal="center" vertical="top" wrapText="1" readingOrder="1"/>
      <protection locked="0"/>
    </xf>
    <xf numFmtId="0" fontId="4" fillId="0" borderId="10" xfId="0" applyFont="1" applyFill="1" applyBorder="1" applyAlignment="1" applyProtection="1">
      <alignment horizontal="center" vertical="top" wrapText="1" readingOrder="1"/>
      <protection locked="0"/>
    </xf>
    <xf numFmtId="49" fontId="7" fillId="0" borderId="11" xfId="0" applyNumberFormat="1" applyFont="1" applyFill="1" applyBorder="1" applyAlignment="1" applyProtection="1">
      <alignment horizontal="center" vertical="top" wrapText="1" readingOrder="1"/>
      <protection locked="0"/>
    </xf>
    <xf numFmtId="49" fontId="7" fillId="0" borderId="7" xfId="0" applyNumberFormat="1" applyFont="1" applyFill="1" applyBorder="1" applyAlignment="1" applyProtection="1">
      <alignment horizontal="center" vertical="top" wrapText="1" readingOrder="1"/>
      <protection locked="0"/>
    </xf>
    <xf numFmtId="0" fontId="7" fillId="0" borderId="2" xfId="0" applyFont="1" applyFill="1" applyBorder="1" applyAlignment="1" applyProtection="1">
      <alignment horizontal="center" vertical="top" wrapText="1" readingOrder="1"/>
      <protection locked="0"/>
    </xf>
    <xf numFmtId="0" fontId="7" fillId="0" borderId="1" xfId="0" applyFont="1" applyFill="1" applyBorder="1" applyAlignment="1" applyProtection="1">
      <alignment horizontal="left" vertical="top" wrapText="1" readingOrder="1"/>
      <protection locked="0"/>
    </xf>
    <xf numFmtId="0" fontId="4" fillId="0" borderId="11" xfId="0" applyFont="1" applyFill="1" applyBorder="1" applyAlignment="1" applyProtection="1">
      <alignment horizontal="left" vertical="top" wrapText="1" readingOrder="1"/>
      <protection locked="0"/>
    </xf>
    <xf numFmtId="0" fontId="4" fillId="0" borderId="7" xfId="0" applyFont="1" applyFill="1" applyBorder="1" applyAlignment="1" applyProtection="1">
      <alignment horizontal="left" vertical="top" wrapText="1" readingOrder="1"/>
      <protection locked="0"/>
    </xf>
    <xf numFmtId="0" fontId="4" fillId="0" borderId="14" xfId="0" applyFont="1" applyFill="1" applyBorder="1" applyAlignment="1" applyProtection="1">
      <alignment horizontal="left" vertical="top" wrapText="1" readingOrder="1"/>
      <protection locked="0"/>
    </xf>
    <xf numFmtId="49" fontId="4" fillId="0" borderId="6" xfId="0" applyNumberFormat="1" applyFont="1" applyFill="1" applyBorder="1" applyAlignment="1" applyProtection="1">
      <alignment horizontal="center" vertical="top" wrapText="1" readingOrder="1"/>
      <protection locked="0"/>
    </xf>
    <xf numFmtId="49" fontId="4" fillId="0" borderId="1" xfId="0" applyNumberFormat="1" applyFont="1" applyFill="1" applyBorder="1" applyAlignment="1" applyProtection="1">
      <alignment horizontal="center" vertical="top" wrapText="1" readingOrder="1"/>
      <protection locked="0"/>
    </xf>
    <xf numFmtId="0" fontId="4" fillId="0" borderId="26" xfId="0" applyFont="1" applyFill="1" applyBorder="1" applyAlignment="1" applyProtection="1">
      <alignment horizontal="left" vertical="top" wrapText="1" readingOrder="1"/>
      <protection locked="0"/>
    </xf>
    <xf numFmtId="0" fontId="4" fillId="0" borderId="9" xfId="0" applyFont="1" applyFill="1" applyBorder="1" applyAlignment="1" applyProtection="1">
      <alignment horizontal="left" vertical="top" wrapText="1" readingOrder="1"/>
      <protection locked="0"/>
    </xf>
    <xf numFmtId="0" fontId="4" fillId="0" borderId="29" xfId="0" applyFont="1" applyFill="1" applyBorder="1" applyAlignment="1" applyProtection="1">
      <alignment horizontal="left" vertical="top" wrapText="1" readingOrder="1"/>
      <protection locked="0"/>
    </xf>
    <xf numFmtId="0" fontId="3" fillId="0" borderId="44" xfId="0" applyNumberFormat="1" applyFont="1" applyFill="1" applyBorder="1" applyAlignment="1" applyProtection="1">
      <alignment horizontal="center" vertical="top" wrapText="1" shrinkToFit="1"/>
      <protection locked="0"/>
    </xf>
    <xf numFmtId="0" fontId="4" fillId="0" borderId="5" xfId="0" applyFont="1" applyFill="1" applyBorder="1" applyAlignment="1" applyProtection="1">
      <alignment horizontal="center" vertical="center" wrapText="1" readingOrder="1"/>
      <protection locked="0"/>
    </xf>
    <xf numFmtId="0" fontId="4" fillId="0" borderId="11" xfId="0" applyFont="1" applyFill="1" applyBorder="1" applyAlignment="1" applyProtection="1">
      <alignment horizontal="center" vertical="center" wrapText="1" readingOrder="1"/>
      <protection locked="0"/>
    </xf>
    <xf numFmtId="0" fontId="4" fillId="0" borderId="2" xfId="0" applyFont="1" applyFill="1" applyBorder="1" applyAlignment="1" applyProtection="1">
      <alignment horizontal="center" vertical="center" wrapText="1" readingOrder="1"/>
      <protection locked="0"/>
    </xf>
    <xf numFmtId="0" fontId="4" fillId="0" borderId="7" xfId="0" applyFont="1" applyFill="1" applyBorder="1" applyAlignment="1" applyProtection="1">
      <alignment horizontal="center" vertical="center" wrapText="1" readingOrder="1"/>
      <protection locked="0"/>
    </xf>
    <xf numFmtId="14" fontId="4" fillId="0" borderId="1" xfId="0" applyNumberFormat="1" applyFont="1" applyFill="1" applyBorder="1" applyAlignment="1" applyProtection="1">
      <alignment horizontal="center" vertical="top" wrapText="1" shrinkToFit="1"/>
      <protection locked="0"/>
    </xf>
    <xf numFmtId="0" fontId="7" fillId="0" borderId="36" xfId="0" applyFont="1" applyFill="1" applyBorder="1" applyAlignment="1" applyProtection="1">
      <alignment horizontal="center" vertical="top" wrapText="1" readingOrder="1"/>
      <protection locked="0"/>
    </xf>
    <xf numFmtId="0" fontId="16" fillId="0" borderId="0" xfId="0" applyFont="1" applyFill="1" applyAlignment="1" applyProtection="1">
      <alignment horizontal="center" vertical="top" wrapText="1" readingOrder="1"/>
      <protection locked="0"/>
    </xf>
    <xf numFmtId="0" fontId="4" fillId="0" borderId="3" xfId="0" applyFont="1" applyFill="1" applyBorder="1" applyAlignment="1" applyProtection="1">
      <alignment horizontal="center" vertical="top" wrapText="1" readingOrder="1"/>
      <protection locked="0"/>
    </xf>
    <xf numFmtId="0" fontId="4" fillId="0" borderId="50" xfId="0" applyFont="1" applyFill="1" applyBorder="1" applyAlignment="1" applyProtection="1">
      <alignment vertical="top" wrapText="1"/>
      <protection locked="0"/>
    </xf>
    <xf numFmtId="0" fontId="4" fillId="0" borderId="43" xfId="0" applyFont="1" applyFill="1" applyBorder="1" applyAlignment="1" applyProtection="1">
      <alignment vertical="top" wrapText="1"/>
      <protection locked="0"/>
    </xf>
    <xf numFmtId="0" fontId="6" fillId="0" borderId="5" xfId="0" applyNumberFormat="1" applyFont="1" applyFill="1" applyBorder="1" applyAlignment="1" applyProtection="1">
      <alignment horizontal="left" vertical="top" wrapText="1"/>
    </xf>
    <xf numFmtId="0" fontId="6" fillId="0" borderId="5" xfId="0" applyNumberFormat="1" applyFont="1" applyFill="1" applyBorder="1" applyAlignment="1" applyProtection="1">
      <alignment horizontal="center" vertical="top" wrapText="1"/>
    </xf>
    <xf numFmtId="0" fontId="3" fillId="0" borderId="14" xfId="0" applyNumberFormat="1" applyFont="1" applyFill="1" applyBorder="1" applyAlignment="1" applyProtection="1">
      <alignment horizontal="center" vertical="top" wrapText="1" shrinkToFit="1"/>
      <protection locked="0"/>
    </xf>
    <xf numFmtId="49" fontId="7" fillId="0" borderId="2" xfId="0" applyNumberFormat="1" applyFont="1" applyFill="1" applyBorder="1" applyAlignment="1" applyProtection="1">
      <alignment horizontal="center" vertical="top" wrapText="1" readingOrder="1"/>
      <protection locked="0"/>
    </xf>
    <xf numFmtId="0" fontId="6" fillId="0" borderId="14" xfId="0" applyNumberFormat="1" applyFont="1" applyFill="1" applyBorder="1" applyAlignment="1" applyProtection="1">
      <alignment horizontal="center" vertical="top" wrapText="1" shrinkToFit="1"/>
      <protection locked="0"/>
    </xf>
    <xf numFmtId="0" fontId="6" fillId="0" borderId="1" xfId="0" applyNumberFormat="1" applyFont="1" applyFill="1" applyBorder="1" applyAlignment="1" applyProtection="1">
      <alignment horizontal="center" vertical="top" wrapText="1" shrinkToFit="1"/>
      <protection locked="0"/>
    </xf>
    <xf numFmtId="0" fontId="6" fillId="0" borderId="12" xfId="0" applyNumberFormat="1" applyFont="1" applyFill="1" applyBorder="1" applyAlignment="1" applyProtection="1">
      <alignment horizontal="center" vertical="top" wrapText="1" shrinkToFit="1"/>
      <protection locked="0"/>
    </xf>
    <xf numFmtId="0" fontId="6" fillId="0" borderId="10" xfId="0" applyNumberFormat="1" applyFont="1" applyFill="1" applyBorder="1" applyAlignment="1" applyProtection="1">
      <alignment horizontal="center" vertical="top" wrapText="1" shrinkToFit="1"/>
      <protection locked="0"/>
    </xf>
    <xf numFmtId="0" fontId="7" fillId="0" borderId="6" xfId="0" applyFont="1" applyFill="1" applyBorder="1" applyAlignment="1" applyProtection="1">
      <alignment horizontal="center" vertical="top" wrapText="1" readingOrder="1"/>
      <protection locked="0"/>
    </xf>
    <xf numFmtId="0" fontId="7" fillId="0" borderId="1" xfId="0" applyFont="1" applyFill="1" applyBorder="1" applyAlignment="1" applyProtection="1">
      <alignment horizontal="center" vertical="top" wrapText="1" readingOrder="1"/>
      <protection locked="0"/>
    </xf>
    <xf numFmtId="0" fontId="7" fillId="0" borderId="20" xfId="0" applyFont="1" applyFill="1" applyBorder="1" applyAlignment="1" applyProtection="1">
      <alignment horizontal="left" vertical="top" wrapText="1" readingOrder="1"/>
      <protection locked="0"/>
    </xf>
    <xf numFmtId="0" fontId="7" fillId="0" borderId="16" xfId="0" applyFont="1" applyFill="1" applyBorder="1" applyAlignment="1" applyProtection="1">
      <alignment horizontal="left" vertical="top" wrapText="1" readingOrder="1"/>
      <protection locked="0"/>
    </xf>
    <xf numFmtId="0" fontId="7" fillId="0" borderId="36" xfId="0" applyFont="1" applyFill="1" applyBorder="1" applyAlignment="1" applyProtection="1">
      <alignment horizontal="left" vertical="top" wrapText="1" readingOrder="1"/>
      <protection locked="0"/>
    </xf>
    <xf numFmtId="49" fontId="7" fillId="0" borderId="5" xfId="0" applyNumberFormat="1" applyFont="1" applyFill="1" applyBorder="1" applyAlignment="1" applyProtection="1">
      <alignment horizontal="center" vertical="top" wrapText="1" readingOrder="1"/>
      <protection locked="0"/>
    </xf>
    <xf numFmtId="0" fontId="4" fillId="0" borderId="1" xfId="0" applyNumberFormat="1" applyFont="1" applyFill="1" applyBorder="1" applyAlignment="1" applyProtection="1">
      <alignment horizontal="center" vertical="top" wrapText="1" shrinkToFit="1" readingOrder="1"/>
      <protection locked="0"/>
    </xf>
    <xf numFmtId="0" fontId="6" fillId="0" borderId="1" xfId="0" applyNumberFormat="1" applyFont="1" applyFill="1" applyBorder="1" applyAlignment="1" applyProtection="1">
      <alignment horizontal="center" vertical="top" wrapText="1"/>
    </xf>
    <xf numFmtId="0" fontId="7" fillId="0" borderId="16" xfId="0" applyFont="1" applyFill="1" applyBorder="1" applyAlignment="1" applyProtection="1">
      <alignment horizontal="center" vertical="top" wrapText="1" readingOrder="1"/>
      <protection locked="0"/>
    </xf>
    <xf numFmtId="14" fontId="4" fillId="0" borderId="6" xfId="0" applyNumberFormat="1" applyFont="1" applyFill="1" applyBorder="1" applyAlignment="1" applyProtection="1">
      <alignment horizontal="center" vertical="top" wrapText="1" shrinkToFit="1"/>
      <protection locked="0"/>
    </xf>
    <xf numFmtId="14" fontId="4" fillId="0" borderId="4" xfId="0" applyNumberFormat="1" applyFont="1" applyFill="1" applyBorder="1" applyAlignment="1" applyProtection="1">
      <alignment horizontal="center" vertical="top" wrapText="1" shrinkToFit="1"/>
      <protection locked="0"/>
    </xf>
    <xf numFmtId="4" fontId="4" fillId="0" borderId="14" xfId="0" applyNumberFormat="1" applyFont="1" applyFill="1" applyBorder="1" applyAlignment="1" applyProtection="1">
      <alignment horizontal="right" vertical="center" wrapText="1" readingOrder="1"/>
      <protection locked="0"/>
    </xf>
    <xf numFmtId="4" fontId="4" fillId="0" borderId="1" xfId="0" applyNumberFormat="1" applyFont="1" applyFill="1" applyBorder="1" applyAlignment="1" applyProtection="1">
      <alignment horizontal="right" vertical="center" wrapText="1" readingOrder="1"/>
      <protection locked="0"/>
    </xf>
    <xf numFmtId="0" fontId="4" fillId="0" borderId="20" xfId="0" applyFont="1" applyFill="1" applyBorder="1" applyAlignment="1" applyProtection="1">
      <alignment horizontal="center" vertical="center" wrapText="1" readingOrder="1"/>
      <protection locked="0"/>
    </xf>
    <xf numFmtId="0" fontId="4" fillId="0" borderId="13" xfId="0" applyFont="1" applyFill="1" applyBorder="1" applyAlignment="1" applyProtection="1">
      <alignment horizontal="center" vertical="center" wrapText="1" readingOrder="1"/>
      <protection locked="0"/>
    </xf>
    <xf numFmtId="0" fontId="4" fillId="0" borderId="28" xfId="0" applyFont="1" applyFill="1" applyBorder="1" applyAlignment="1" applyProtection="1">
      <alignment horizontal="center" vertical="center" wrapText="1" readingOrder="1"/>
      <protection locked="0"/>
    </xf>
    <xf numFmtId="0" fontId="4" fillId="0" borderId="49" xfId="0" applyFont="1" applyFill="1" applyBorder="1" applyAlignment="1" applyProtection="1">
      <alignment horizontal="center" vertical="center" wrapText="1" readingOrder="1"/>
      <protection locked="0"/>
    </xf>
    <xf numFmtId="14" fontId="3" fillId="0" borderId="7" xfId="0" applyNumberFormat="1" applyFont="1" applyFill="1" applyBorder="1" applyAlignment="1" applyProtection="1">
      <alignment horizontal="center" vertical="top" wrapText="1" shrinkToFit="1"/>
      <protection locked="0"/>
    </xf>
    <xf numFmtId="0" fontId="6" fillId="0" borderId="16" xfId="0" applyNumberFormat="1" applyFont="1" applyFill="1" applyBorder="1" applyAlignment="1" applyProtection="1">
      <alignment horizontal="center" vertical="top" wrapText="1"/>
    </xf>
    <xf numFmtId="0" fontId="4" fillId="0" borderId="16" xfId="0" applyNumberFormat="1" applyFont="1" applyFill="1" applyBorder="1" applyAlignment="1" applyProtection="1">
      <alignment horizontal="center" vertical="top" wrapText="1" shrinkToFit="1"/>
      <protection locked="0"/>
    </xf>
    <xf numFmtId="0" fontId="4" fillId="0" borderId="1" xfId="0" applyFont="1" applyFill="1" applyBorder="1" applyAlignment="1" applyProtection="1">
      <alignment horizontal="center" vertical="top" wrapText="1"/>
      <protection locked="0"/>
    </xf>
    <xf numFmtId="49" fontId="4" fillId="0" borderId="20" xfId="0" applyNumberFormat="1" applyFont="1" applyFill="1" applyBorder="1" applyAlignment="1" applyProtection="1">
      <alignment horizontal="center" vertical="center" wrapText="1" readingOrder="1"/>
      <protection locked="0"/>
    </xf>
    <xf numFmtId="49" fontId="4" fillId="0" borderId="16" xfId="0" applyNumberFormat="1" applyFont="1" applyFill="1" applyBorder="1" applyAlignment="1" applyProtection="1">
      <alignment horizontal="center" vertical="center" wrapText="1" readingOrder="1"/>
      <protection locked="0"/>
    </xf>
    <xf numFmtId="49" fontId="4" fillId="0" borderId="11" xfId="0" applyNumberFormat="1" applyFont="1" applyFill="1" applyBorder="1" applyAlignment="1" applyProtection="1">
      <alignment horizontal="center" vertical="center" wrapText="1" readingOrder="1"/>
      <protection locked="0"/>
    </xf>
    <xf numFmtId="49" fontId="4" fillId="0" borderId="2" xfId="0" applyNumberFormat="1" applyFont="1" applyFill="1" applyBorder="1" applyAlignment="1" applyProtection="1">
      <alignment horizontal="center" vertical="center" wrapText="1" readingOrder="1"/>
      <protection locked="0"/>
    </xf>
    <xf numFmtId="0" fontId="4" fillId="0" borderId="20" xfId="0" applyFont="1" applyFill="1" applyBorder="1" applyAlignment="1" applyProtection="1">
      <alignment horizontal="center" vertical="top" wrapText="1" readingOrder="1"/>
      <protection locked="0"/>
    </xf>
    <xf numFmtId="0" fontId="4" fillId="0" borderId="16" xfId="0" applyFont="1" applyFill="1" applyBorder="1" applyAlignment="1" applyProtection="1">
      <alignment horizontal="center" vertical="top" wrapText="1" readingOrder="1"/>
      <protection locked="0"/>
    </xf>
    <xf numFmtId="49" fontId="4" fillId="0" borderId="11" xfId="0" applyNumberFormat="1" applyFont="1" applyFill="1" applyBorder="1" applyAlignment="1" applyProtection="1">
      <alignment horizontal="center" vertical="top" wrapText="1" readingOrder="1"/>
      <protection locked="0"/>
    </xf>
    <xf numFmtId="49" fontId="4" fillId="0" borderId="2" xfId="0" applyNumberFormat="1" applyFont="1" applyFill="1" applyBorder="1" applyAlignment="1" applyProtection="1">
      <alignment horizontal="center" vertical="top" wrapText="1" readingOrder="1"/>
      <protection locked="0"/>
    </xf>
    <xf numFmtId="0" fontId="7" fillId="0" borderId="54" xfId="0" applyFont="1" applyFill="1" applyBorder="1" applyAlignment="1" applyProtection="1">
      <alignment horizontal="left" vertical="top" wrapText="1" readingOrder="1"/>
      <protection locked="0"/>
    </xf>
    <xf numFmtId="0" fontId="7" fillId="0" borderId="0" xfId="0" applyFont="1" applyFill="1" applyBorder="1" applyAlignment="1" applyProtection="1">
      <alignment horizontal="left" vertical="top" wrapText="1" readingOrder="1"/>
      <protection locked="0"/>
    </xf>
    <xf numFmtId="0" fontId="7" fillId="0" borderId="64" xfId="0" applyFont="1" applyFill="1" applyBorder="1" applyAlignment="1" applyProtection="1">
      <alignment horizontal="left" vertical="top" wrapText="1" readingOrder="1"/>
      <protection locked="0"/>
    </xf>
    <xf numFmtId="0" fontId="7" fillId="0" borderId="23" xfId="0" applyFont="1" applyFill="1" applyBorder="1" applyAlignment="1" applyProtection="1">
      <alignment horizontal="center" vertical="top" wrapText="1" readingOrder="1"/>
      <protection locked="0"/>
    </xf>
    <xf numFmtId="49" fontId="4" fillId="0" borderId="4" xfId="0" applyNumberFormat="1" applyFont="1" applyFill="1" applyBorder="1" applyAlignment="1" applyProtection="1">
      <alignment horizontal="center" vertical="top" wrapText="1" readingOrder="1"/>
      <protection locked="0"/>
    </xf>
    <xf numFmtId="49" fontId="4" fillId="0" borderId="29" xfId="0" applyNumberFormat="1" applyFont="1" applyFill="1" applyBorder="1" applyAlignment="1" applyProtection="1">
      <alignment horizontal="center" vertical="top" wrapText="1" readingOrder="1"/>
      <protection locked="0"/>
    </xf>
    <xf numFmtId="49" fontId="4" fillId="0" borderId="52" xfId="0" applyNumberFormat="1" applyFont="1" applyFill="1" applyBorder="1" applyAlignment="1" applyProtection="1">
      <alignment horizontal="center" vertical="top" wrapText="1" readingOrder="1"/>
      <protection locked="0"/>
    </xf>
    <xf numFmtId="0" fontId="4" fillId="0" borderId="28" xfId="0" applyFont="1" applyFill="1" applyBorder="1" applyAlignment="1" applyProtection="1">
      <alignment horizontal="center" vertical="top" wrapText="1" readingOrder="1"/>
      <protection locked="0"/>
    </xf>
    <xf numFmtId="0" fontId="4" fillId="0" borderId="11" xfId="0" applyNumberFormat="1" applyFont="1" applyFill="1" applyBorder="1" applyAlignment="1" applyProtection="1">
      <alignment horizontal="center" vertical="center" wrapText="1" shrinkToFit="1"/>
      <protection locked="0"/>
    </xf>
    <xf numFmtId="0" fontId="4" fillId="0" borderId="7" xfId="0" applyNumberFormat="1" applyFont="1" applyFill="1" applyBorder="1" applyAlignment="1" applyProtection="1">
      <alignment horizontal="center" vertical="center" wrapText="1" shrinkToFit="1"/>
      <protection locked="0"/>
    </xf>
    <xf numFmtId="49" fontId="12" fillId="0" borderId="27" xfId="0" applyNumberFormat="1" applyFont="1" applyFill="1" applyBorder="1" applyAlignment="1">
      <alignment horizontal="center" vertical="center"/>
    </xf>
    <xf numFmtId="49" fontId="12" fillId="0" borderId="25"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xf>
    <xf numFmtId="49" fontId="12" fillId="0" borderId="59" xfId="0" applyNumberFormat="1" applyFont="1" applyFill="1" applyBorder="1" applyAlignment="1">
      <alignment horizontal="center" vertical="center"/>
    </xf>
    <xf numFmtId="49" fontId="1" fillId="0" borderId="5" xfId="0" applyNumberFormat="1" applyFont="1" applyBorder="1" applyAlignment="1">
      <alignment horizontal="center"/>
    </xf>
    <xf numFmtId="49" fontId="0" fillId="0" borderId="5" xfId="0" applyNumberFormat="1" applyBorder="1" applyAlignment="1">
      <alignment horizontal="center"/>
    </xf>
  </cellXfs>
  <cellStyles count="2">
    <cellStyle name="Обычный" xfId="0" builtinId="0"/>
    <cellStyle name="Обычный_TMP_1"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570"/>
  <sheetViews>
    <sheetView showGridLines="0" tabSelected="1" zoomScaleNormal="100" zoomScaleSheetLayoutView="80" workbookViewId="0">
      <pane xSplit="2" ySplit="5" topLeftCell="G136" activePane="bottomRight" state="frozen"/>
      <selection pane="topRight" activeCell="C1" sqref="C1"/>
      <selection pane="bottomLeft" activeCell="A6" sqref="A6"/>
      <selection pane="bottomRight" activeCell="I238" sqref="I238"/>
    </sheetView>
  </sheetViews>
  <sheetFormatPr defaultRowHeight="18.75"/>
  <cols>
    <col min="1" max="1" width="36.140625" style="29" customWidth="1"/>
    <col min="2" max="2" width="5.85546875" style="247" customWidth="1"/>
    <col min="3" max="3" width="22" style="29" customWidth="1"/>
    <col min="4" max="4" width="6.28515625" style="29" customWidth="1"/>
    <col min="5" max="5" width="9" style="29" customWidth="1"/>
    <col min="6" max="6" width="22.140625" style="29" customWidth="1"/>
    <col min="7" max="7" width="6.5703125" style="29" customWidth="1"/>
    <col min="8" max="8" width="10" style="29" customWidth="1"/>
    <col min="9" max="9" width="49" style="29" customWidth="1"/>
    <col min="10" max="10" width="6.42578125" style="29" customWidth="1"/>
    <col min="11" max="11" width="9.7109375" style="29" customWidth="1"/>
    <col min="12" max="13" width="3.7109375" style="29" customWidth="1"/>
    <col min="14" max="17" width="10.140625" style="29" customWidth="1"/>
    <col min="18" max="18" width="9.28515625" style="29" customWidth="1"/>
    <col min="19" max="16384" width="9.140625" style="106"/>
  </cols>
  <sheetData>
    <row r="1" spans="1:18" ht="18" customHeight="1">
      <c r="A1" s="614" t="s">
        <v>1506</v>
      </c>
      <c r="B1" s="614"/>
      <c r="C1" s="614"/>
      <c r="D1" s="614"/>
      <c r="E1" s="614"/>
      <c r="F1" s="614"/>
      <c r="G1" s="614"/>
      <c r="H1" s="614"/>
      <c r="I1" s="614"/>
      <c r="J1" s="614"/>
      <c r="K1" s="614"/>
      <c r="L1" s="614"/>
      <c r="M1" s="614"/>
      <c r="N1" s="614"/>
      <c r="O1" s="614"/>
      <c r="P1" s="614"/>
      <c r="Q1" s="614"/>
      <c r="R1" s="614"/>
    </row>
    <row r="2" spans="1:18" s="107" customFormat="1" ht="12.75" customHeight="1">
      <c r="A2" s="609" t="s">
        <v>532</v>
      </c>
      <c r="B2" s="534" t="s">
        <v>0</v>
      </c>
      <c r="C2" s="615" t="s">
        <v>533</v>
      </c>
      <c r="D2" s="616"/>
      <c r="E2" s="616"/>
      <c r="F2" s="616"/>
      <c r="G2" s="616"/>
      <c r="H2" s="616"/>
      <c r="I2" s="616"/>
      <c r="J2" s="616"/>
      <c r="K2" s="617"/>
      <c r="L2" s="639" t="s">
        <v>1</v>
      </c>
      <c r="M2" s="640"/>
      <c r="N2" s="538"/>
      <c r="O2" s="538"/>
      <c r="P2" s="538"/>
      <c r="Q2" s="538"/>
      <c r="R2" s="538"/>
    </row>
    <row r="3" spans="1:18" s="107" customFormat="1" ht="23.25" customHeight="1">
      <c r="A3" s="610"/>
      <c r="B3" s="531"/>
      <c r="C3" s="615" t="s">
        <v>6</v>
      </c>
      <c r="D3" s="616"/>
      <c r="E3" s="617"/>
      <c r="F3" s="615" t="s">
        <v>7</v>
      </c>
      <c r="G3" s="616"/>
      <c r="H3" s="617"/>
      <c r="I3" s="615" t="s">
        <v>54</v>
      </c>
      <c r="J3" s="616"/>
      <c r="K3" s="617"/>
      <c r="L3" s="641"/>
      <c r="M3" s="642"/>
      <c r="N3" s="608">
        <v>2020</v>
      </c>
      <c r="O3" s="608"/>
      <c r="P3" s="608" t="s">
        <v>1207</v>
      </c>
      <c r="Q3" s="608" t="s">
        <v>1206</v>
      </c>
      <c r="R3" s="468" t="s">
        <v>8</v>
      </c>
    </row>
    <row r="4" spans="1:18" s="107" customFormat="1" ht="86.25" customHeight="1">
      <c r="A4" s="611"/>
      <c r="B4" s="535"/>
      <c r="C4" s="487" t="s">
        <v>435</v>
      </c>
      <c r="D4" s="487" t="s">
        <v>9</v>
      </c>
      <c r="E4" s="487" t="s">
        <v>10</v>
      </c>
      <c r="F4" s="487" t="s">
        <v>435</v>
      </c>
      <c r="G4" s="487" t="s">
        <v>9</v>
      </c>
      <c r="H4" s="487" t="s">
        <v>10</v>
      </c>
      <c r="I4" s="487" t="s">
        <v>435</v>
      </c>
      <c r="J4" s="487" t="s">
        <v>9</v>
      </c>
      <c r="K4" s="487" t="s">
        <v>10</v>
      </c>
      <c r="L4" s="487" t="s">
        <v>11</v>
      </c>
      <c r="M4" s="132" t="s">
        <v>12</v>
      </c>
      <c r="N4" s="468" t="s">
        <v>13</v>
      </c>
      <c r="O4" s="468" t="s">
        <v>14</v>
      </c>
      <c r="P4" s="608"/>
      <c r="Q4" s="608"/>
      <c r="R4" s="468" t="s">
        <v>1205</v>
      </c>
    </row>
    <row r="5" spans="1:18" s="107" customFormat="1" ht="12">
      <c r="A5" s="433" t="s">
        <v>2</v>
      </c>
      <c r="B5" s="433" t="s">
        <v>15</v>
      </c>
      <c r="C5" s="487" t="s">
        <v>16</v>
      </c>
      <c r="D5" s="487" t="s">
        <v>17</v>
      </c>
      <c r="E5" s="487" t="s">
        <v>18</v>
      </c>
      <c r="F5" s="487" t="s">
        <v>19</v>
      </c>
      <c r="G5" s="487" t="s">
        <v>20</v>
      </c>
      <c r="H5" s="487" t="s">
        <v>21</v>
      </c>
      <c r="I5" s="487">
        <v>9</v>
      </c>
      <c r="J5" s="487">
        <v>10</v>
      </c>
      <c r="K5" s="487">
        <v>11</v>
      </c>
      <c r="L5" s="487">
        <v>12</v>
      </c>
      <c r="M5" s="132">
        <v>13</v>
      </c>
      <c r="N5" s="327">
        <v>16</v>
      </c>
      <c r="O5" s="327"/>
      <c r="P5" s="327">
        <v>17</v>
      </c>
      <c r="Q5" s="373"/>
      <c r="R5" s="327">
        <v>18</v>
      </c>
    </row>
    <row r="6" spans="1:18" s="108" customFormat="1" ht="60" customHeight="1">
      <c r="A6" s="34" t="s">
        <v>524</v>
      </c>
      <c r="B6" s="450" t="s">
        <v>27</v>
      </c>
      <c r="C6" s="450" t="s">
        <v>28</v>
      </c>
      <c r="D6" s="450" t="s">
        <v>28</v>
      </c>
      <c r="E6" s="450" t="s">
        <v>28</v>
      </c>
      <c r="F6" s="450" t="s">
        <v>28</v>
      </c>
      <c r="G6" s="450" t="s">
        <v>28</v>
      </c>
      <c r="H6" s="450" t="s">
        <v>28</v>
      </c>
      <c r="I6" s="450" t="s">
        <v>28</v>
      </c>
      <c r="J6" s="450" t="s">
        <v>28</v>
      </c>
      <c r="K6" s="450" t="s">
        <v>28</v>
      </c>
      <c r="L6" s="450"/>
      <c r="M6" s="358"/>
      <c r="N6" s="153">
        <f>N7+N268+N319+N344+N405+N410</f>
        <v>1898077.675</v>
      </c>
      <c r="O6" s="153">
        <f>O7+O268+O319+O344+O405+O410</f>
        <v>1871167.3744999999</v>
      </c>
      <c r="P6" s="153">
        <f>P7+P268+P319+P344+P405+P410</f>
        <v>2067100.7609999999</v>
      </c>
      <c r="Q6" s="153">
        <f>Q7+Q268+Q319+Q344+Q405+Q410</f>
        <v>1472023.5760000001</v>
      </c>
      <c r="R6" s="153">
        <f>R7+R268+R319+R344+R405+R410</f>
        <v>1497821.953</v>
      </c>
    </row>
    <row r="7" spans="1:18" s="108" customFormat="1" ht="72">
      <c r="A7" s="34" t="s">
        <v>525</v>
      </c>
      <c r="B7" s="450" t="s">
        <v>29</v>
      </c>
      <c r="C7" s="450" t="s">
        <v>28</v>
      </c>
      <c r="D7" s="450" t="s">
        <v>28</v>
      </c>
      <c r="E7" s="450" t="s">
        <v>28</v>
      </c>
      <c r="F7" s="450" t="s">
        <v>28</v>
      </c>
      <c r="G7" s="450" t="s">
        <v>28</v>
      </c>
      <c r="H7" s="450" t="s">
        <v>28</v>
      </c>
      <c r="I7" s="450" t="s">
        <v>28</v>
      </c>
      <c r="J7" s="450" t="s">
        <v>28</v>
      </c>
      <c r="K7" s="450" t="s">
        <v>28</v>
      </c>
      <c r="L7" s="450"/>
      <c r="M7" s="358"/>
      <c r="N7" s="154">
        <f>N8+N262</f>
        <v>593611.04299999995</v>
      </c>
      <c r="O7" s="154">
        <f>O8+O262</f>
        <v>579736.77350000001</v>
      </c>
      <c r="P7" s="154">
        <f>P8+P262</f>
        <v>773672.1059999998</v>
      </c>
      <c r="Q7" s="154">
        <f>Q8+Q262</f>
        <v>462408.38400000008</v>
      </c>
      <c r="R7" s="154">
        <f>R8+R262</f>
        <v>486981.76100000012</v>
      </c>
    </row>
    <row r="8" spans="1:18" s="108" customFormat="1" ht="72">
      <c r="A8" s="34" t="s">
        <v>568</v>
      </c>
      <c r="B8" s="450">
        <v>1002</v>
      </c>
      <c r="C8" s="450" t="s">
        <v>28</v>
      </c>
      <c r="D8" s="450" t="s">
        <v>28</v>
      </c>
      <c r="E8" s="450" t="s">
        <v>28</v>
      </c>
      <c r="F8" s="450" t="s">
        <v>28</v>
      </c>
      <c r="G8" s="450" t="s">
        <v>28</v>
      </c>
      <c r="H8" s="450" t="s">
        <v>28</v>
      </c>
      <c r="I8" s="450" t="s">
        <v>28</v>
      </c>
      <c r="J8" s="450" t="s">
        <v>28</v>
      </c>
      <c r="K8" s="450" t="s">
        <v>28</v>
      </c>
      <c r="L8" s="61"/>
      <c r="M8" s="150"/>
      <c r="N8" s="154">
        <f t="shared" ref="N8:O8" si="0">N9+N11+N12+N17+N19+N22+N23+N24+N32+N33+N51+N86+N117+N132+N135+N136+N139+N148+N149+N156+N173+N176+N179+N181+N187+N196+N197+N199+N208+N226+N228+N232+N242+N259+N260</f>
        <v>530007.44299999997</v>
      </c>
      <c r="O8" s="154">
        <f t="shared" si="0"/>
        <v>516133.17349999998</v>
      </c>
      <c r="P8" s="154">
        <f>P9+P11+P12+P17+P19+P22+P23+P24+P32+P33+P51+P86+P117+P132+P135+P136+P139+P148+P149+P156+P173+P176+P179+P181+P187+P196+P197+P199+P208+P226+P228+P232+P242+P258+P259+P260</f>
        <v>707627.40599999984</v>
      </c>
      <c r="Q8" s="154">
        <f t="shared" ref="Q8:R8" si="1">Q9+Q11+Q12+Q17+Q19+Q22+Q23+Q24+Q32+Q33+Q51+Q86+Q117+Q132+Q135+Q136+Q139+Q148+Q149+Q156+Q173+Q176+Q179+Q181+Q187+Q196+Q197+Q199+Q208+Q226+Q228+Q232+Q242+Q258+Q259+Q260</f>
        <v>396332.88400000008</v>
      </c>
      <c r="R8" s="154">
        <f t="shared" si="1"/>
        <v>420674.5610000001</v>
      </c>
    </row>
    <row r="9" spans="1:18" s="108" customFormat="1" ht="12" customHeight="1">
      <c r="A9" s="628" t="s">
        <v>526</v>
      </c>
      <c r="B9" s="584">
        <v>1005</v>
      </c>
      <c r="C9" s="186"/>
      <c r="D9" s="48"/>
      <c r="E9" s="48"/>
      <c r="F9" s="48"/>
      <c r="G9" s="48"/>
      <c r="H9" s="48"/>
      <c r="I9" s="13"/>
      <c r="J9" s="13"/>
      <c r="K9" s="13"/>
      <c r="L9" s="467" t="s">
        <v>31</v>
      </c>
      <c r="M9" s="136" t="s">
        <v>25</v>
      </c>
      <c r="N9" s="154">
        <f t="shared" ref="N9:R9" si="2">SUM(N10:N10)</f>
        <v>4106.384</v>
      </c>
      <c r="O9" s="154">
        <f t="shared" si="2"/>
        <v>3841.6190000000001</v>
      </c>
      <c r="P9" s="154">
        <f t="shared" si="2"/>
        <v>9472</v>
      </c>
      <c r="Q9" s="154">
        <f t="shared" si="2"/>
        <v>3643.9</v>
      </c>
      <c r="R9" s="154">
        <f t="shared" si="2"/>
        <v>3682.3</v>
      </c>
    </row>
    <row r="10" spans="1:18" s="107" customFormat="1" ht="144.75" customHeight="1">
      <c r="A10" s="629"/>
      <c r="B10" s="584"/>
      <c r="C10" s="249" t="s">
        <v>55</v>
      </c>
      <c r="D10" s="444" t="s">
        <v>72</v>
      </c>
      <c r="E10" s="444" t="s">
        <v>56</v>
      </c>
      <c r="F10" s="430" t="s">
        <v>30</v>
      </c>
      <c r="G10" s="430" t="s">
        <v>30</v>
      </c>
      <c r="H10" s="430" t="s">
        <v>30</v>
      </c>
      <c r="I10" s="250" t="s">
        <v>1062</v>
      </c>
      <c r="J10" s="430" t="s">
        <v>73</v>
      </c>
      <c r="K10" s="430" t="s">
        <v>74</v>
      </c>
      <c r="L10" s="430" t="s">
        <v>31</v>
      </c>
      <c r="M10" s="507" t="s">
        <v>25</v>
      </c>
      <c r="N10" s="59">
        <f>3445.266+331.144+329.974</f>
        <v>4106.384</v>
      </c>
      <c r="O10" s="59">
        <f>3244.418+267.227+329.974</f>
        <v>3841.6190000000001</v>
      </c>
      <c r="P10" s="59">
        <f>4169+5000+303</f>
        <v>9472</v>
      </c>
      <c r="Q10" s="59">
        <v>3643.9</v>
      </c>
      <c r="R10" s="59">
        <v>3682.3</v>
      </c>
    </row>
    <row r="11" spans="1:18" s="108" customFormat="1" ht="59.25" customHeight="1">
      <c r="A11" s="65" t="s">
        <v>527</v>
      </c>
      <c r="B11" s="467">
        <v>1006</v>
      </c>
      <c r="C11" s="458" t="s">
        <v>55</v>
      </c>
      <c r="D11" s="458" t="s">
        <v>335</v>
      </c>
      <c r="E11" s="458" t="s">
        <v>56</v>
      </c>
      <c r="F11" s="467"/>
      <c r="G11" s="467"/>
      <c r="H11" s="467"/>
      <c r="I11" s="468" t="s">
        <v>90</v>
      </c>
      <c r="J11" s="468" t="s">
        <v>67</v>
      </c>
      <c r="K11" s="468" t="s">
        <v>70</v>
      </c>
      <c r="L11" s="467" t="s">
        <v>34</v>
      </c>
      <c r="M11" s="467" t="s">
        <v>35</v>
      </c>
      <c r="N11" s="93">
        <v>0</v>
      </c>
      <c r="O11" s="93">
        <v>0</v>
      </c>
      <c r="P11" s="93">
        <v>10269.927</v>
      </c>
      <c r="Q11" s="93">
        <v>29803.200000000001</v>
      </c>
      <c r="R11" s="93">
        <v>29803.200000000001</v>
      </c>
    </row>
    <row r="12" spans="1:18" s="108" customFormat="1" ht="12" customHeight="1">
      <c r="A12" s="630" t="s">
        <v>569</v>
      </c>
      <c r="B12" s="613">
        <v>1007</v>
      </c>
      <c r="C12" s="486"/>
      <c r="D12" s="486"/>
      <c r="E12" s="486"/>
      <c r="F12" s="486"/>
      <c r="G12" s="486"/>
      <c r="H12" s="300"/>
      <c r="I12" s="300"/>
      <c r="J12" s="300"/>
      <c r="K12" s="300"/>
      <c r="L12" s="486" t="s">
        <v>36</v>
      </c>
      <c r="M12" s="486" t="s">
        <v>37</v>
      </c>
      <c r="N12" s="301">
        <f t="shared" ref="N12:R12" si="3">SUM(N13:N16)</f>
        <v>3501.5830000000001</v>
      </c>
      <c r="O12" s="301">
        <f t="shared" si="3"/>
        <v>3438.46</v>
      </c>
      <c r="P12" s="301">
        <f t="shared" si="3"/>
        <v>3745.0140000000001</v>
      </c>
      <c r="Q12" s="301">
        <f t="shared" si="3"/>
        <v>6900</v>
      </c>
      <c r="R12" s="301">
        <f t="shared" si="3"/>
        <v>6900</v>
      </c>
    </row>
    <row r="13" spans="1:18" s="107" customFormat="1" ht="84" customHeight="1">
      <c r="A13" s="554"/>
      <c r="B13" s="597"/>
      <c r="C13" s="432" t="s">
        <v>55</v>
      </c>
      <c r="D13" s="432" t="s">
        <v>80</v>
      </c>
      <c r="E13" s="432" t="s">
        <v>56</v>
      </c>
      <c r="F13" s="432" t="s">
        <v>931</v>
      </c>
      <c r="G13" s="432" t="s">
        <v>1359</v>
      </c>
      <c r="H13" s="432" t="s">
        <v>983</v>
      </c>
      <c r="I13" s="448" t="s">
        <v>75</v>
      </c>
      <c r="J13" s="448" t="s">
        <v>76</v>
      </c>
      <c r="K13" s="448" t="s">
        <v>77</v>
      </c>
      <c r="L13" s="432"/>
      <c r="M13" s="432"/>
      <c r="N13" s="18">
        <f>3501.583-53.285</f>
        <v>3448.2980000000002</v>
      </c>
      <c r="O13" s="18">
        <v>3438.46</v>
      </c>
      <c r="P13" s="18">
        <f>3745.014-12.07</f>
        <v>3732.944</v>
      </c>
      <c r="Q13" s="374">
        <v>6900</v>
      </c>
      <c r="R13" s="159">
        <v>6900</v>
      </c>
    </row>
    <row r="14" spans="1:18" s="107" customFormat="1" ht="119.25" customHeight="1">
      <c r="A14" s="554"/>
      <c r="B14" s="597"/>
      <c r="C14" s="430"/>
      <c r="D14" s="430"/>
      <c r="E14" s="430"/>
      <c r="F14" s="430"/>
      <c r="G14" s="430"/>
      <c r="H14" s="430"/>
      <c r="I14" s="444" t="s">
        <v>1156</v>
      </c>
      <c r="J14" s="444" t="s">
        <v>67</v>
      </c>
      <c r="K14" s="444" t="s">
        <v>567</v>
      </c>
      <c r="L14" s="430"/>
      <c r="M14" s="430"/>
      <c r="N14" s="50"/>
      <c r="O14" s="50"/>
      <c r="P14" s="50"/>
      <c r="Q14" s="375"/>
      <c r="R14" s="160"/>
    </row>
    <row r="15" spans="1:18" s="107" customFormat="1" ht="84">
      <c r="A15" s="554"/>
      <c r="B15" s="597"/>
      <c r="C15" s="430"/>
      <c r="D15" s="430"/>
      <c r="E15" s="430"/>
      <c r="F15" s="430"/>
      <c r="G15" s="430"/>
      <c r="H15" s="430"/>
      <c r="I15" s="444" t="s">
        <v>886</v>
      </c>
      <c r="J15" s="444" t="s">
        <v>67</v>
      </c>
      <c r="K15" s="444" t="s">
        <v>79</v>
      </c>
      <c r="L15" s="430"/>
      <c r="M15" s="430"/>
      <c r="N15" s="50"/>
      <c r="O15" s="50"/>
      <c r="P15" s="50"/>
      <c r="Q15" s="375"/>
      <c r="R15" s="160"/>
    </row>
    <row r="16" spans="1:18" s="107" customFormat="1" ht="60" customHeight="1">
      <c r="A16" s="480"/>
      <c r="B16" s="68" t="s">
        <v>518</v>
      </c>
      <c r="C16" s="433"/>
      <c r="D16" s="433"/>
      <c r="E16" s="433"/>
      <c r="F16" s="433"/>
      <c r="G16" s="433"/>
      <c r="H16" s="433"/>
      <c r="I16" s="489" t="s">
        <v>1429</v>
      </c>
      <c r="J16" s="489" t="s">
        <v>67</v>
      </c>
      <c r="K16" s="489" t="s">
        <v>1430</v>
      </c>
      <c r="L16" s="433"/>
      <c r="M16" s="433"/>
      <c r="N16" s="55">
        <v>53.284999999999997</v>
      </c>
      <c r="O16" s="55">
        <v>0</v>
      </c>
      <c r="P16" s="55">
        <v>12.07</v>
      </c>
      <c r="Q16" s="376">
        <v>0</v>
      </c>
      <c r="R16" s="162">
        <v>0</v>
      </c>
    </row>
    <row r="17" spans="1:18" s="108" customFormat="1" ht="14.25" customHeight="1">
      <c r="A17" s="553" t="s">
        <v>571</v>
      </c>
      <c r="B17" s="595" t="s">
        <v>570</v>
      </c>
      <c r="C17" s="36"/>
      <c r="D17" s="36"/>
      <c r="E17" s="36"/>
      <c r="F17" s="37"/>
      <c r="G17" s="37"/>
      <c r="H17" s="37"/>
      <c r="I17" s="2"/>
      <c r="J17" s="2"/>
      <c r="K17" s="2"/>
      <c r="L17" s="37" t="s">
        <v>36</v>
      </c>
      <c r="M17" s="37" t="s">
        <v>39</v>
      </c>
      <c r="N17" s="206">
        <f t="shared" ref="N17:R17" si="4">SUM(N18:N18)</f>
        <v>2837.6039999999998</v>
      </c>
      <c r="O17" s="206">
        <f t="shared" si="4"/>
        <v>2837.6039999999998</v>
      </c>
      <c r="P17" s="206">
        <f t="shared" si="4"/>
        <v>21916.2</v>
      </c>
      <c r="Q17" s="206">
        <f t="shared" si="4"/>
        <v>16000</v>
      </c>
      <c r="R17" s="206">
        <f t="shared" si="4"/>
        <v>16000</v>
      </c>
    </row>
    <row r="18" spans="1:18" s="107" customFormat="1" ht="109.5" customHeight="1">
      <c r="A18" s="554"/>
      <c r="B18" s="621"/>
      <c r="C18" s="430" t="s">
        <v>55</v>
      </c>
      <c r="D18" s="430" t="s">
        <v>82</v>
      </c>
      <c r="E18" s="430" t="s">
        <v>56</v>
      </c>
      <c r="F18" s="430" t="s">
        <v>30</v>
      </c>
      <c r="G18" s="430" t="s">
        <v>30</v>
      </c>
      <c r="H18" s="430" t="s">
        <v>30</v>
      </c>
      <c r="I18" s="287" t="s">
        <v>686</v>
      </c>
      <c r="J18" s="456" t="s">
        <v>740</v>
      </c>
      <c r="K18" s="456" t="s">
        <v>77</v>
      </c>
      <c r="L18" s="430"/>
      <c r="M18" s="430"/>
      <c r="N18" s="50">
        <v>2837.6039999999998</v>
      </c>
      <c r="O18" s="50">
        <v>2837.6039999999998</v>
      </c>
      <c r="P18" s="50">
        <f>5916.2+16000</f>
        <v>21916.2</v>
      </c>
      <c r="Q18" s="375">
        <v>16000</v>
      </c>
      <c r="R18" s="160">
        <v>16000</v>
      </c>
    </row>
    <row r="19" spans="1:18" s="108" customFormat="1" ht="13.5" customHeight="1">
      <c r="A19" s="567" t="s">
        <v>572</v>
      </c>
      <c r="B19" s="626">
        <v>1010</v>
      </c>
      <c r="C19" s="65"/>
      <c r="D19" s="65"/>
      <c r="E19" s="65"/>
      <c r="F19" s="65"/>
      <c r="G19" s="65"/>
      <c r="H19" s="65"/>
      <c r="I19" s="10"/>
      <c r="J19" s="191"/>
      <c r="K19" s="191"/>
      <c r="L19" s="467" t="s">
        <v>36</v>
      </c>
      <c r="M19" s="467" t="s">
        <v>39</v>
      </c>
      <c r="N19" s="93">
        <f t="shared" ref="N19:R19" si="5">SUM(N20:N20)</f>
        <v>4559.5659999999998</v>
      </c>
      <c r="O19" s="93">
        <f t="shared" si="5"/>
        <v>4310.7730000000001</v>
      </c>
      <c r="P19" s="93">
        <f t="shared" si="5"/>
        <v>4586.2</v>
      </c>
      <c r="Q19" s="93">
        <f t="shared" si="5"/>
        <v>0</v>
      </c>
      <c r="R19" s="93">
        <f t="shared" si="5"/>
        <v>0</v>
      </c>
    </row>
    <row r="20" spans="1:18" s="107" customFormat="1" ht="59.25" customHeight="1">
      <c r="A20" s="598"/>
      <c r="B20" s="627"/>
      <c r="C20" s="439" t="s">
        <v>55</v>
      </c>
      <c r="D20" s="439" t="s">
        <v>82</v>
      </c>
      <c r="E20" s="439" t="s">
        <v>56</v>
      </c>
      <c r="F20" s="51"/>
      <c r="G20" s="51"/>
      <c r="H20" s="51"/>
      <c r="I20" s="251" t="s">
        <v>852</v>
      </c>
      <c r="J20" s="493" t="s">
        <v>67</v>
      </c>
      <c r="K20" s="493" t="s">
        <v>853</v>
      </c>
      <c r="L20" s="439"/>
      <c r="M20" s="439"/>
      <c r="N20" s="44">
        <v>4559.5659999999998</v>
      </c>
      <c r="O20" s="44">
        <v>4310.7730000000001</v>
      </c>
      <c r="P20" s="44">
        <v>4586.2</v>
      </c>
      <c r="Q20" s="44">
        <v>0</v>
      </c>
      <c r="R20" s="44">
        <v>0</v>
      </c>
    </row>
    <row r="21" spans="1:18" s="107" customFormat="1" ht="111.75" customHeight="1">
      <c r="A21" s="478"/>
      <c r="B21" s="495"/>
      <c r="C21" s="439"/>
      <c r="D21" s="439"/>
      <c r="E21" s="439"/>
      <c r="F21" s="51"/>
      <c r="G21" s="51"/>
      <c r="H21" s="51"/>
      <c r="I21" s="287" t="s">
        <v>686</v>
      </c>
      <c r="J21" s="456" t="s">
        <v>740</v>
      </c>
      <c r="K21" s="456" t="s">
        <v>77</v>
      </c>
      <c r="L21" s="439"/>
      <c r="M21" s="439"/>
      <c r="N21" s="44"/>
      <c r="O21" s="44"/>
      <c r="P21" s="44"/>
      <c r="Q21" s="44"/>
      <c r="R21" s="44"/>
    </row>
    <row r="22" spans="1:18" s="108" customFormat="1" ht="60" hidden="1" customHeight="1">
      <c r="A22" s="65" t="s">
        <v>573</v>
      </c>
      <c r="B22" s="467">
        <v>1013</v>
      </c>
      <c r="C22" s="468"/>
      <c r="D22" s="468"/>
      <c r="E22" s="468"/>
      <c r="F22" s="468"/>
      <c r="G22" s="94"/>
      <c r="H22" s="177"/>
      <c r="I22" s="167"/>
      <c r="J22" s="9"/>
      <c r="K22" s="9"/>
      <c r="L22" s="467"/>
      <c r="M22" s="467"/>
      <c r="N22" s="65">
        <v>0</v>
      </c>
      <c r="O22" s="65"/>
      <c r="P22" s="65">
        <v>0</v>
      </c>
      <c r="Q22" s="65"/>
      <c r="R22" s="65">
        <v>0</v>
      </c>
    </row>
    <row r="23" spans="1:18" s="108" customFormat="1" ht="108.75" hidden="1" customHeight="1">
      <c r="A23" s="65" t="s">
        <v>574</v>
      </c>
      <c r="B23" s="467">
        <v>1014</v>
      </c>
      <c r="C23" s="468" t="s">
        <v>55</v>
      </c>
      <c r="D23" s="468" t="s">
        <v>336</v>
      </c>
      <c r="E23" s="468" t="s">
        <v>56</v>
      </c>
      <c r="F23" s="468" t="s">
        <v>426</v>
      </c>
      <c r="G23" s="94" t="s">
        <v>67</v>
      </c>
      <c r="H23" s="177" t="s">
        <v>427</v>
      </c>
      <c r="I23" s="167" t="s">
        <v>83</v>
      </c>
      <c r="J23" s="9" t="s">
        <v>67</v>
      </c>
      <c r="K23" s="9" t="s">
        <v>84</v>
      </c>
      <c r="L23" s="467" t="s">
        <v>31</v>
      </c>
      <c r="M23" s="467" t="s">
        <v>25</v>
      </c>
      <c r="N23" s="65">
        <v>0</v>
      </c>
      <c r="O23" s="65"/>
      <c r="P23" s="65"/>
      <c r="Q23" s="65"/>
      <c r="R23" s="65">
        <v>0</v>
      </c>
    </row>
    <row r="24" spans="1:18" s="108" customFormat="1" ht="48">
      <c r="A24" s="65" t="s">
        <v>575</v>
      </c>
      <c r="B24" s="467">
        <v>1015</v>
      </c>
      <c r="C24" s="65"/>
      <c r="D24" s="65"/>
      <c r="E24" s="65"/>
      <c r="F24" s="65"/>
      <c r="G24" s="65"/>
      <c r="H24" s="65"/>
      <c r="I24" s="410"/>
      <c r="J24" s="10"/>
      <c r="K24" s="10"/>
      <c r="L24" s="467"/>
      <c r="M24" s="467"/>
      <c r="N24" s="93">
        <f t="shared" ref="N24:R24" si="6">SUM(N26:N28)</f>
        <v>303.596</v>
      </c>
      <c r="O24" s="93">
        <f t="shared" si="6"/>
        <v>293.49599999999998</v>
      </c>
      <c r="P24" s="93">
        <f t="shared" si="6"/>
        <v>35</v>
      </c>
      <c r="Q24" s="93">
        <f t="shared" si="6"/>
        <v>0</v>
      </c>
      <c r="R24" s="93">
        <f t="shared" si="6"/>
        <v>0</v>
      </c>
    </row>
    <row r="25" spans="1:18" s="108" customFormat="1" ht="12">
      <c r="A25" s="398" t="s">
        <v>96</v>
      </c>
      <c r="B25" s="399"/>
      <c r="C25" s="398"/>
      <c r="D25" s="398"/>
      <c r="E25" s="398"/>
      <c r="F25" s="398"/>
      <c r="G25" s="398"/>
      <c r="H25" s="398"/>
      <c r="I25" s="400"/>
      <c r="J25" s="401"/>
      <c r="K25" s="401"/>
      <c r="L25" s="477"/>
      <c r="M25" s="497"/>
      <c r="N25" s="409"/>
      <c r="O25" s="409"/>
      <c r="P25" s="409"/>
      <c r="Q25" s="409"/>
      <c r="R25" s="409"/>
    </row>
    <row r="26" spans="1:18" s="109" customFormat="1" ht="12" hidden="1">
      <c r="A26" s="38"/>
      <c r="B26" s="39"/>
      <c r="C26" s="38"/>
      <c r="D26" s="38"/>
      <c r="E26" s="38"/>
      <c r="F26" s="38"/>
      <c r="G26" s="38"/>
      <c r="H26" s="38"/>
      <c r="I26" s="3"/>
      <c r="J26" s="4"/>
      <c r="K26" s="111"/>
      <c r="L26" s="82" t="s">
        <v>31</v>
      </c>
      <c r="M26" s="137" t="s">
        <v>25</v>
      </c>
      <c r="N26" s="192">
        <f>N31</f>
        <v>0</v>
      </c>
      <c r="O26" s="192"/>
      <c r="P26" s="192">
        <f>P31</f>
        <v>0</v>
      </c>
      <c r="Q26" s="192"/>
      <c r="R26" s="192">
        <f>R31</f>
        <v>0</v>
      </c>
    </row>
    <row r="27" spans="1:18" s="109" customFormat="1" ht="12">
      <c r="A27" s="77"/>
      <c r="B27" s="41"/>
      <c r="C27" s="77"/>
      <c r="D27" s="77"/>
      <c r="E27" s="77"/>
      <c r="F27" s="77"/>
      <c r="G27" s="77"/>
      <c r="H27" s="77"/>
      <c r="I27" s="113"/>
      <c r="J27" s="114"/>
      <c r="K27" s="115"/>
      <c r="L27" s="116" t="s">
        <v>40</v>
      </c>
      <c r="M27" s="138" t="s">
        <v>37</v>
      </c>
      <c r="N27" s="193">
        <f t="shared" ref="N27:R28" si="7">N29</f>
        <v>145.49600000000001</v>
      </c>
      <c r="O27" s="193">
        <f t="shared" si="7"/>
        <v>135.39599999999999</v>
      </c>
      <c r="P27" s="193">
        <f t="shared" si="7"/>
        <v>0</v>
      </c>
      <c r="Q27" s="193">
        <f t="shared" ref="Q27" si="8">Q29</f>
        <v>0</v>
      </c>
      <c r="R27" s="193">
        <f t="shared" si="7"/>
        <v>0</v>
      </c>
    </row>
    <row r="28" spans="1:18" s="109" customFormat="1" ht="12">
      <c r="A28" s="80"/>
      <c r="B28" s="112"/>
      <c r="C28" s="80"/>
      <c r="D28" s="80"/>
      <c r="E28" s="80"/>
      <c r="F28" s="80"/>
      <c r="G28" s="80"/>
      <c r="H28" s="80"/>
      <c r="I28" s="117"/>
      <c r="J28" s="12"/>
      <c r="K28" s="12"/>
      <c r="L28" s="82" t="s">
        <v>40</v>
      </c>
      <c r="M28" s="137">
        <v>10</v>
      </c>
      <c r="N28" s="194">
        <f t="shared" si="7"/>
        <v>158.1</v>
      </c>
      <c r="O28" s="194">
        <f t="shared" si="7"/>
        <v>158.1</v>
      </c>
      <c r="P28" s="194">
        <f t="shared" si="7"/>
        <v>35</v>
      </c>
      <c r="Q28" s="194">
        <f t="shared" ref="Q28" si="9">Q30</f>
        <v>0</v>
      </c>
      <c r="R28" s="194">
        <f t="shared" si="7"/>
        <v>0</v>
      </c>
    </row>
    <row r="29" spans="1:18" s="107" customFormat="1" ht="61.5" customHeight="1">
      <c r="A29" s="49"/>
      <c r="B29" s="432"/>
      <c r="C29" s="624" t="s">
        <v>91</v>
      </c>
      <c r="D29" s="622" t="s">
        <v>92</v>
      </c>
      <c r="E29" s="622" t="s">
        <v>93</v>
      </c>
      <c r="F29" s="620" t="s">
        <v>94</v>
      </c>
      <c r="G29" s="446" t="s">
        <v>752</v>
      </c>
      <c r="H29" s="446" t="s">
        <v>95</v>
      </c>
      <c r="I29" s="446" t="s">
        <v>85</v>
      </c>
      <c r="J29" s="446" t="s">
        <v>86</v>
      </c>
      <c r="K29" s="442" t="s">
        <v>87</v>
      </c>
      <c r="L29" s="190" t="s">
        <v>40</v>
      </c>
      <c r="M29" s="343" t="s">
        <v>37</v>
      </c>
      <c r="N29" s="59">
        <v>145.49600000000001</v>
      </c>
      <c r="O29" s="59">
        <v>135.39599999999999</v>
      </c>
      <c r="P29" s="59">
        <v>0</v>
      </c>
      <c r="Q29" s="59">
        <v>0</v>
      </c>
      <c r="R29" s="59">
        <v>0</v>
      </c>
    </row>
    <row r="30" spans="1:18" s="107" customFormat="1" ht="84" customHeight="1">
      <c r="A30" s="42"/>
      <c r="B30" s="430"/>
      <c r="C30" s="625"/>
      <c r="D30" s="623"/>
      <c r="E30" s="623"/>
      <c r="F30" s="544"/>
      <c r="G30" s="252"/>
      <c r="H30" s="252"/>
      <c r="I30" s="484" t="s">
        <v>566</v>
      </c>
      <c r="J30" s="446" t="s">
        <v>88</v>
      </c>
      <c r="K30" s="442" t="s">
        <v>89</v>
      </c>
      <c r="L30" s="509" t="s">
        <v>40</v>
      </c>
      <c r="M30" s="139">
        <v>10</v>
      </c>
      <c r="N30" s="44">
        <v>158.1</v>
      </c>
      <c r="O30" s="44">
        <v>158.1</v>
      </c>
      <c r="P30" s="44">
        <v>35</v>
      </c>
      <c r="Q30" s="44">
        <v>0</v>
      </c>
      <c r="R30" s="44">
        <v>0</v>
      </c>
    </row>
    <row r="31" spans="1:18" s="107" customFormat="1" ht="84.75" customHeight="1">
      <c r="A31" s="236"/>
      <c r="B31" s="244"/>
      <c r="C31" s="253" t="s">
        <v>55</v>
      </c>
      <c r="D31" s="253" t="s">
        <v>504</v>
      </c>
      <c r="E31" s="253" t="s">
        <v>56</v>
      </c>
      <c r="F31" s="237"/>
      <c r="G31" s="237"/>
      <c r="H31" s="237"/>
      <c r="I31" s="453" t="s">
        <v>1354</v>
      </c>
      <c r="J31" s="453" t="s">
        <v>67</v>
      </c>
      <c r="K31" s="453" t="s">
        <v>131</v>
      </c>
      <c r="L31" s="68"/>
      <c r="M31" s="140"/>
      <c r="N31" s="60"/>
      <c r="O31" s="60"/>
      <c r="P31" s="60"/>
      <c r="Q31" s="377"/>
      <c r="R31" s="60"/>
    </row>
    <row r="32" spans="1:18" s="108" customFormat="1" ht="108.75" hidden="1" customHeight="1">
      <c r="A32" s="52" t="s">
        <v>576</v>
      </c>
      <c r="B32" s="477">
        <v>1018</v>
      </c>
      <c r="C32" s="233" t="s">
        <v>55</v>
      </c>
      <c r="D32" s="234" t="s">
        <v>337</v>
      </c>
      <c r="E32" s="235" t="s">
        <v>56</v>
      </c>
      <c r="F32" s="42" t="s">
        <v>30</v>
      </c>
      <c r="G32" s="42" t="s">
        <v>30</v>
      </c>
      <c r="H32" s="42" t="s">
        <v>30</v>
      </c>
      <c r="I32" s="432" t="s">
        <v>100</v>
      </c>
      <c r="J32" s="432" t="s">
        <v>67</v>
      </c>
      <c r="K32" s="432" t="s">
        <v>99</v>
      </c>
      <c r="L32" s="450" t="s">
        <v>34</v>
      </c>
      <c r="M32" s="358" t="s">
        <v>40</v>
      </c>
      <c r="N32" s="154">
        <v>0</v>
      </c>
      <c r="O32" s="154"/>
      <c r="P32" s="154">
        <v>0</v>
      </c>
      <c r="Q32" s="154"/>
      <c r="R32" s="154">
        <v>0</v>
      </c>
    </row>
    <row r="33" spans="1:18" s="107" customFormat="1" ht="131.25" customHeight="1">
      <c r="A33" s="34" t="s">
        <v>577</v>
      </c>
      <c r="B33" s="450">
        <v>1019</v>
      </c>
      <c r="C33" s="15"/>
      <c r="D33" s="16"/>
      <c r="E33" s="17"/>
      <c r="F33" s="34" t="s">
        <v>30</v>
      </c>
      <c r="G33" s="34" t="s">
        <v>30</v>
      </c>
      <c r="H33" s="34" t="s">
        <v>30</v>
      </c>
      <c r="I33" s="34" t="s">
        <v>30</v>
      </c>
      <c r="J33" s="34" t="s">
        <v>30</v>
      </c>
      <c r="K33" s="34" t="s">
        <v>30</v>
      </c>
      <c r="L33" s="450"/>
      <c r="M33" s="358"/>
      <c r="N33" s="154">
        <f t="shared" ref="N33:R33" si="10">SUM(N35:N36)</f>
        <v>175206.27799999999</v>
      </c>
      <c r="O33" s="154">
        <f t="shared" si="10"/>
        <v>171210.99500000002</v>
      </c>
      <c r="P33" s="154">
        <f t="shared" si="10"/>
        <v>146032.31299999999</v>
      </c>
      <c r="Q33" s="154">
        <f t="shared" si="10"/>
        <v>113872.9</v>
      </c>
      <c r="R33" s="154">
        <f t="shared" si="10"/>
        <v>114728.6</v>
      </c>
    </row>
    <row r="34" spans="1:18" s="107" customFormat="1" ht="13.5" customHeight="1">
      <c r="A34" s="65" t="s">
        <v>96</v>
      </c>
      <c r="B34" s="467"/>
      <c r="C34" s="180"/>
      <c r="D34" s="180"/>
      <c r="E34" s="180"/>
      <c r="F34" s="65"/>
      <c r="G34" s="65"/>
      <c r="H34" s="65"/>
      <c r="I34" s="65"/>
      <c r="J34" s="65"/>
      <c r="K34" s="65"/>
      <c r="L34" s="467"/>
      <c r="M34" s="467"/>
      <c r="N34" s="93"/>
      <c r="O34" s="93"/>
      <c r="P34" s="93"/>
      <c r="Q34" s="93"/>
      <c r="R34" s="93"/>
    </row>
    <row r="35" spans="1:18" s="109" customFormat="1" ht="13.5" customHeight="1">
      <c r="A35" s="80"/>
      <c r="B35" s="112"/>
      <c r="C35" s="181"/>
      <c r="D35" s="181"/>
      <c r="E35" s="181"/>
      <c r="F35" s="80"/>
      <c r="G35" s="80"/>
      <c r="H35" s="80"/>
      <c r="I35" s="80"/>
      <c r="J35" s="80"/>
      <c r="K35" s="80"/>
      <c r="L35" s="82" t="s">
        <v>42</v>
      </c>
      <c r="M35" s="82" t="s">
        <v>31</v>
      </c>
      <c r="N35" s="194">
        <f>N37+N39+N40+N42+N43+N44+N45+N46+N47</f>
        <v>143107.978</v>
      </c>
      <c r="O35" s="194">
        <f>O37+O39+O40+O42+O43+O44+O45+O46+O47</f>
        <v>139466.82700000002</v>
      </c>
      <c r="P35" s="194">
        <f t="shared" ref="P35:R35" si="11">P37+P39+P40+P42+P43+P44+P45+P46+P47</f>
        <v>112377.81299999999</v>
      </c>
      <c r="Q35" s="194">
        <f t="shared" si="11"/>
        <v>80504.800000000003</v>
      </c>
      <c r="R35" s="194">
        <f t="shared" si="11"/>
        <v>81006.2</v>
      </c>
    </row>
    <row r="36" spans="1:18" s="109" customFormat="1" ht="13.5" customHeight="1">
      <c r="A36" s="80"/>
      <c r="B36" s="112"/>
      <c r="C36" s="181"/>
      <c r="D36" s="181"/>
      <c r="E36" s="181"/>
      <c r="F36" s="80"/>
      <c r="G36" s="80"/>
      <c r="H36" s="80"/>
      <c r="I36" s="80"/>
      <c r="J36" s="80"/>
      <c r="K36" s="80"/>
      <c r="L36" s="82" t="s">
        <v>42</v>
      </c>
      <c r="M36" s="82" t="s">
        <v>35</v>
      </c>
      <c r="N36" s="194">
        <f t="shared" ref="N36" si="12">N38</f>
        <v>32098.3</v>
      </c>
      <c r="O36" s="194">
        <f t="shared" ref="O36:R36" si="13">O38</f>
        <v>31744.168000000001</v>
      </c>
      <c r="P36" s="194">
        <f t="shared" si="13"/>
        <v>33654.5</v>
      </c>
      <c r="Q36" s="194">
        <f t="shared" si="13"/>
        <v>33368.1</v>
      </c>
      <c r="R36" s="194">
        <f t="shared" si="13"/>
        <v>33722.400000000001</v>
      </c>
    </row>
    <row r="37" spans="1:18" s="107" customFormat="1" ht="42" customHeight="1">
      <c r="A37" s="618" t="s">
        <v>668</v>
      </c>
      <c r="B37" s="619"/>
      <c r="C37" s="591" t="s">
        <v>346</v>
      </c>
      <c r="D37" s="591" t="s">
        <v>340</v>
      </c>
      <c r="E37" s="591" t="s">
        <v>59</v>
      </c>
      <c r="F37" s="591" t="s">
        <v>344</v>
      </c>
      <c r="G37" s="591" t="s">
        <v>320</v>
      </c>
      <c r="H37" s="591" t="s">
        <v>222</v>
      </c>
      <c r="I37" s="591" t="s">
        <v>321</v>
      </c>
      <c r="J37" s="591" t="s">
        <v>67</v>
      </c>
      <c r="K37" s="585" t="s">
        <v>115</v>
      </c>
      <c r="L37" s="95" t="s">
        <v>42</v>
      </c>
      <c r="M37" s="95" t="s">
        <v>31</v>
      </c>
      <c r="N37" s="104">
        <f>78977.439+5874.138</f>
        <v>84851.577000000005</v>
      </c>
      <c r="O37" s="104">
        <f>77426.918+5874.138</f>
        <v>83301.056000000011</v>
      </c>
      <c r="P37" s="104">
        <f>83070.308+2869.741</f>
        <v>85940.048999999999</v>
      </c>
      <c r="Q37" s="104">
        <v>80504.800000000003</v>
      </c>
      <c r="R37" s="104">
        <v>81006.2</v>
      </c>
    </row>
    <row r="38" spans="1:18" s="107" customFormat="1" ht="42" customHeight="1">
      <c r="A38" s="618"/>
      <c r="B38" s="619"/>
      <c r="C38" s="591"/>
      <c r="D38" s="591"/>
      <c r="E38" s="591"/>
      <c r="F38" s="591"/>
      <c r="G38" s="591"/>
      <c r="H38" s="591"/>
      <c r="I38" s="591"/>
      <c r="J38" s="591"/>
      <c r="K38" s="585"/>
      <c r="L38" s="95" t="s">
        <v>42</v>
      </c>
      <c r="M38" s="95" t="s">
        <v>35</v>
      </c>
      <c r="N38" s="104">
        <f>32098.3</f>
        <v>32098.3</v>
      </c>
      <c r="O38" s="104">
        <v>31744.168000000001</v>
      </c>
      <c r="P38" s="104">
        <v>33654.5</v>
      </c>
      <c r="Q38" s="104">
        <v>33368.1</v>
      </c>
      <c r="R38" s="104">
        <v>33722.400000000001</v>
      </c>
    </row>
    <row r="39" spans="1:18" s="107" customFormat="1" ht="86.25" customHeight="1">
      <c r="A39" s="51" t="s">
        <v>669</v>
      </c>
      <c r="B39" s="482"/>
      <c r="C39" s="484"/>
      <c r="D39" s="484"/>
      <c r="E39" s="484"/>
      <c r="F39" s="484"/>
      <c r="G39" s="484"/>
      <c r="H39" s="484"/>
      <c r="I39" s="484" t="s">
        <v>1351</v>
      </c>
      <c r="J39" s="484" t="s">
        <v>130</v>
      </c>
      <c r="K39" s="484" t="s">
        <v>131</v>
      </c>
      <c r="L39" s="130" t="s">
        <v>42</v>
      </c>
      <c r="M39" s="147" t="s">
        <v>31</v>
      </c>
      <c r="N39" s="306">
        <f>220+915.42</f>
        <v>1135.42</v>
      </c>
      <c r="O39" s="306">
        <f>220+915.42</f>
        <v>1135.42</v>
      </c>
      <c r="P39" s="306">
        <v>1472.385</v>
      </c>
      <c r="Q39" s="306">
        <v>0</v>
      </c>
      <c r="R39" s="306">
        <v>0</v>
      </c>
    </row>
    <row r="40" spans="1:18" s="107" customFormat="1" ht="191.25" customHeight="1">
      <c r="A40" s="96" t="s">
        <v>670</v>
      </c>
      <c r="B40" s="481" t="s">
        <v>329</v>
      </c>
      <c r="C40" s="498"/>
      <c r="D40" s="498"/>
      <c r="E40" s="498"/>
      <c r="F40" s="539" t="s">
        <v>506</v>
      </c>
      <c r="G40" s="323" t="s">
        <v>88</v>
      </c>
      <c r="H40" s="323" t="s">
        <v>507</v>
      </c>
      <c r="I40" s="498" t="s">
        <v>1504</v>
      </c>
      <c r="J40" s="498" t="s">
        <v>67</v>
      </c>
      <c r="K40" s="503" t="s">
        <v>1505</v>
      </c>
      <c r="L40" s="481" t="s">
        <v>42</v>
      </c>
      <c r="M40" s="481" t="s">
        <v>31</v>
      </c>
      <c r="N40" s="83">
        <v>24137</v>
      </c>
      <c r="O40" s="83">
        <v>23829.791000000001</v>
      </c>
      <c r="P40" s="83">
        <v>23606.7</v>
      </c>
      <c r="Q40" s="83">
        <v>0</v>
      </c>
      <c r="R40" s="83">
        <v>0</v>
      </c>
    </row>
    <row r="41" spans="1:18" s="107" customFormat="1" ht="51.75" customHeight="1">
      <c r="A41" s="51"/>
      <c r="B41" s="482"/>
      <c r="C41" s="484"/>
      <c r="D41" s="484"/>
      <c r="E41" s="484"/>
      <c r="F41" s="540"/>
      <c r="G41" s="254"/>
      <c r="H41" s="254"/>
      <c r="I41" s="439" t="s">
        <v>90</v>
      </c>
      <c r="J41" s="439" t="s">
        <v>67</v>
      </c>
      <c r="K41" s="439" t="s">
        <v>70</v>
      </c>
      <c r="L41" s="482"/>
      <c r="M41" s="482"/>
      <c r="N41" s="84"/>
      <c r="O41" s="84"/>
      <c r="P41" s="84"/>
      <c r="Q41" s="84"/>
      <c r="R41" s="84"/>
    </row>
    <row r="42" spans="1:18" s="107" customFormat="1" ht="96" customHeight="1">
      <c r="A42" s="51" t="s">
        <v>907</v>
      </c>
      <c r="B42" s="482" t="s">
        <v>1373</v>
      </c>
      <c r="C42" s="484"/>
      <c r="D42" s="484"/>
      <c r="E42" s="484"/>
      <c r="F42" s="254"/>
      <c r="G42" s="254"/>
      <c r="H42" s="254"/>
      <c r="I42" s="565" t="s">
        <v>1008</v>
      </c>
      <c r="J42" s="439" t="s">
        <v>67</v>
      </c>
      <c r="K42" s="439" t="s">
        <v>1009</v>
      </c>
      <c r="L42" s="482" t="s">
        <v>42</v>
      </c>
      <c r="M42" s="482" t="s">
        <v>31</v>
      </c>
      <c r="N42" s="84">
        <v>30000</v>
      </c>
      <c r="O42" s="84">
        <v>28477.652999999998</v>
      </c>
      <c r="P42" s="84">
        <v>1313.865</v>
      </c>
      <c r="Q42" s="84">
        <v>0</v>
      </c>
      <c r="R42" s="84">
        <v>0</v>
      </c>
    </row>
    <row r="43" spans="1:18" s="107" customFormat="1" ht="11.25" customHeight="1">
      <c r="A43" s="51"/>
      <c r="B43" s="482"/>
      <c r="C43" s="484"/>
      <c r="D43" s="484"/>
      <c r="E43" s="484"/>
      <c r="F43" s="254"/>
      <c r="G43" s="254"/>
      <c r="H43" s="254"/>
      <c r="I43" s="565"/>
      <c r="J43" s="439"/>
      <c r="K43" s="439"/>
      <c r="L43" s="482"/>
      <c r="M43" s="482"/>
      <c r="N43" s="84">
        <v>30</v>
      </c>
      <c r="O43" s="84">
        <v>28.506</v>
      </c>
      <c r="P43" s="84">
        <v>1.3140000000000001</v>
      </c>
      <c r="Q43" s="84">
        <v>0</v>
      </c>
      <c r="R43" s="84">
        <v>0</v>
      </c>
    </row>
    <row r="44" spans="1:18" s="107" customFormat="1" ht="61.5" customHeight="1">
      <c r="A44" s="51" t="s">
        <v>908</v>
      </c>
      <c r="B44" s="482" t="s">
        <v>909</v>
      </c>
      <c r="C44" s="484"/>
      <c r="D44" s="484"/>
      <c r="E44" s="484"/>
      <c r="F44" s="540" t="s">
        <v>999</v>
      </c>
      <c r="G44" s="254" t="s">
        <v>1000</v>
      </c>
      <c r="H44" s="540" t="s">
        <v>983</v>
      </c>
      <c r="I44" s="565" t="s">
        <v>1349</v>
      </c>
      <c r="J44" s="565" t="s">
        <v>67</v>
      </c>
      <c r="K44" s="565" t="s">
        <v>1012</v>
      </c>
      <c r="L44" s="482" t="s">
        <v>42</v>
      </c>
      <c r="M44" s="482" t="s">
        <v>31</v>
      </c>
      <c r="N44" s="84">
        <v>399.00799999999998</v>
      </c>
      <c r="O44" s="84">
        <v>399.00799999999998</v>
      </c>
      <c r="P44" s="84">
        <v>42.195</v>
      </c>
      <c r="Q44" s="84">
        <v>0</v>
      </c>
      <c r="R44" s="84">
        <v>0</v>
      </c>
    </row>
    <row r="45" spans="1:18" s="107" customFormat="1" ht="72.75" customHeight="1">
      <c r="A45" s="51" t="s">
        <v>910</v>
      </c>
      <c r="B45" s="482" t="s">
        <v>911</v>
      </c>
      <c r="C45" s="484"/>
      <c r="D45" s="484"/>
      <c r="E45" s="484"/>
      <c r="F45" s="540"/>
      <c r="G45" s="254"/>
      <c r="H45" s="540"/>
      <c r="I45" s="565"/>
      <c r="J45" s="565"/>
      <c r="K45" s="565"/>
      <c r="L45" s="482" t="s">
        <v>42</v>
      </c>
      <c r="M45" s="482" t="s">
        <v>31</v>
      </c>
      <c r="N45" s="84">
        <v>12.34</v>
      </c>
      <c r="O45" s="84">
        <v>12.34</v>
      </c>
      <c r="P45" s="84">
        <v>1.3049999999999999</v>
      </c>
      <c r="Q45" s="84">
        <v>0</v>
      </c>
      <c r="R45" s="84">
        <v>0</v>
      </c>
    </row>
    <row r="46" spans="1:18" s="107" customFormat="1" ht="62.25" customHeight="1">
      <c r="A46" s="51" t="s">
        <v>1016</v>
      </c>
      <c r="B46" s="482" t="s">
        <v>1017</v>
      </c>
      <c r="C46" s="484"/>
      <c r="D46" s="484"/>
      <c r="E46" s="484"/>
      <c r="F46" s="484"/>
      <c r="G46" s="254"/>
      <c r="H46" s="484"/>
      <c r="I46" s="439" t="s">
        <v>90</v>
      </c>
      <c r="J46" s="439" t="s">
        <v>67</v>
      </c>
      <c r="K46" s="439" t="s">
        <v>70</v>
      </c>
      <c r="L46" s="482" t="s">
        <v>42</v>
      </c>
      <c r="M46" s="482" t="s">
        <v>31</v>
      </c>
      <c r="N46" s="84">
        <v>1175</v>
      </c>
      <c r="O46" s="84">
        <v>915.42</v>
      </c>
      <c r="P46" s="84">
        <v>0</v>
      </c>
      <c r="Q46" s="84">
        <v>0</v>
      </c>
      <c r="R46" s="84">
        <v>0</v>
      </c>
    </row>
    <row r="47" spans="1:18" s="107" customFormat="1" ht="168" customHeight="1">
      <c r="A47" s="51" t="s">
        <v>1098</v>
      </c>
      <c r="B47" s="482" t="s">
        <v>1099</v>
      </c>
      <c r="C47" s="484"/>
      <c r="D47" s="484"/>
      <c r="E47" s="484"/>
      <c r="F47" s="484"/>
      <c r="G47" s="254"/>
      <c r="H47" s="484"/>
      <c r="I47" s="439" t="s">
        <v>1137</v>
      </c>
      <c r="J47" s="439" t="s">
        <v>67</v>
      </c>
      <c r="K47" s="439" t="s">
        <v>1138</v>
      </c>
      <c r="L47" s="482" t="s">
        <v>42</v>
      </c>
      <c r="M47" s="482" t="s">
        <v>31</v>
      </c>
      <c r="N47" s="84">
        <v>1367.633</v>
      </c>
      <c r="O47" s="84">
        <v>1367.633</v>
      </c>
      <c r="P47" s="84">
        <v>0</v>
      </c>
      <c r="Q47" s="84">
        <v>0</v>
      </c>
      <c r="R47" s="84">
        <v>0</v>
      </c>
    </row>
    <row r="48" spans="1:18" s="107" customFormat="1" ht="26.25" hidden="1" customHeight="1">
      <c r="A48" s="51" t="s">
        <v>1097</v>
      </c>
      <c r="B48" s="482"/>
      <c r="C48" s="439"/>
      <c r="D48" s="439"/>
      <c r="E48" s="439"/>
      <c r="F48" s="254"/>
      <c r="G48" s="254"/>
      <c r="H48" s="254"/>
      <c r="I48" s="439"/>
      <c r="J48" s="439"/>
      <c r="K48" s="439"/>
      <c r="L48" s="482"/>
      <c r="M48" s="482"/>
      <c r="N48" s="84"/>
      <c r="O48" s="84"/>
      <c r="P48" s="84"/>
      <c r="Q48" s="84"/>
      <c r="R48" s="84"/>
    </row>
    <row r="49" spans="1:18" s="107" customFormat="1" ht="12" hidden="1" customHeight="1">
      <c r="A49" s="51" t="s">
        <v>96</v>
      </c>
      <c r="B49" s="482"/>
      <c r="C49" s="439"/>
      <c r="D49" s="439"/>
      <c r="E49" s="439"/>
      <c r="F49" s="254"/>
      <c r="G49" s="254"/>
      <c r="H49" s="254"/>
      <c r="I49" s="439"/>
      <c r="J49" s="439"/>
      <c r="K49" s="439"/>
      <c r="L49" s="482"/>
      <c r="M49" s="482"/>
      <c r="N49" s="84"/>
      <c r="O49" s="84"/>
      <c r="P49" s="84"/>
      <c r="Q49" s="84"/>
      <c r="R49" s="84"/>
    </row>
    <row r="50" spans="1:18" s="107" customFormat="1" ht="12" hidden="1" customHeight="1">
      <c r="A50" s="281"/>
      <c r="B50" s="202"/>
      <c r="C50" s="327"/>
      <c r="D50" s="327"/>
      <c r="E50" s="327"/>
      <c r="F50" s="324"/>
      <c r="G50" s="324"/>
      <c r="H50" s="324"/>
      <c r="I50" s="327"/>
      <c r="J50" s="327"/>
      <c r="K50" s="327"/>
      <c r="L50" s="202"/>
      <c r="M50" s="202"/>
      <c r="N50" s="85"/>
      <c r="O50" s="85"/>
      <c r="P50" s="85"/>
      <c r="Q50" s="378"/>
      <c r="R50" s="85"/>
    </row>
    <row r="51" spans="1:18" s="107" customFormat="1" ht="146.25" customHeight="1">
      <c r="A51" s="195" t="s">
        <v>578</v>
      </c>
      <c r="B51" s="165" t="s">
        <v>377</v>
      </c>
      <c r="C51" s="196"/>
      <c r="D51" s="196"/>
      <c r="E51" s="196"/>
      <c r="F51" s="196"/>
      <c r="G51" s="196"/>
      <c r="H51" s="197"/>
      <c r="I51" s="196"/>
      <c r="J51" s="196"/>
      <c r="K51" s="197"/>
      <c r="L51" s="198"/>
      <c r="M51" s="198"/>
      <c r="N51" s="205">
        <f>SUM(N52:N85)</f>
        <v>61385.733500000009</v>
      </c>
      <c r="O51" s="205">
        <f>SUM(O52:O85)</f>
        <v>59700.621999999996</v>
      </c>
      <c r="P51" s="205">
        <f t="shared" ref="P51:R51" si="14">SUM(P52:P85)</f>
        <v>85414.612000000008</v>
      </c>
      <c r="Q51" s="205">
        <f t="shared" si="14"/>
        <v>66826.823999999993</v>
      </c>
      <c r="R51" s="205">
        <f t="shared" si="14"/>
        <v>72733.184999999998</v>
      </c>
    </row>
    <row r="52" spans="1:18" s="107" customFormat="1" ht="156" customHeight="1">
      <c r="A52" s="563" t="s">
        <v>688</v>
      </c>
      <c r="B52" s="536"/>
      <c r="C52" s="498" t="s">
        <v>346</v>
      </c>
      <c r="D52" s="498" t="s">
        <v>338</v>
      </c>
      <c r="E52" s="498" t="s">
        <v>59</v>
      </c>
      <c r="F52" s="498" t="s">
        <v>344</v>
      </c>
      <c r="G52" s="498" t="s">
        <v>339</v>
      </c>
      <c r="H52" s="498" t="s">
        <v>222</v>
      </c>
      <c r="I52" s="484" t="s">
        <v>811</v>
      </c>
      <c r="J52" s="484" t="s">
        <v>67</v>
      </c>
      <c r="K52" s="484" t="s">
        <v>432</v>
      </c>
      <c r="L52" s="481" t="s">
        <v>42</v>
      </c>
      <c r="M52" s="512" t="s">
        <v>35</v>
      </c>
      <c r="N52" s="83">
        <f>22929.675+6402.763</f>
        <v>29332.437999999998</v>
      </c>
      <c r="O52" s="83">
        <f>22922.12+6402.763</f>
        <v>29324.882999999998</v>
      </c>
      <c r="P52" s="83">
        <f>23890.149+2691.245</f>
        <v>26581.394</v>
      </c>
      <c r="Q52" s="83">
        <v>23907.8</v>
      </c>
      <c r="R52" s="83">
        <v>24398.1</v>
      </c>
    </row>
    <row r="53" spans="1:18" s="107" customFormat="1" ht="60">
      <c r="A53" s="566"/>
      <c r="B53" s="565"/>
      <c r="C53" s="484"/>
      <c r="D53" s="484"/>
      <c r="E53" s="484"/>
      <c r="F53" s="254"/>
      <c r="G53" s="254"/>
      <c r="H53" s="254"/>
      <c r="I53" s="439" t="s">
        <v>315</v>
      </c>
      <c r="J53" s="439" t="s">
        <v>67</v>
      </c>
      <c r="K53" s="439" t="s">
        <v>324</v>
      </c>
      <c r="L53" s="482"/>
      <c r="M53" s="144"/>
      <c r="N53" s="84"/>
      <c r="O53" s="84"/>
      <c r="P53" s="84"/>
      <c r="Q53" s="84"/>
      <c r="R53" s="84"/>
    </row>
    <row r="54" spans="1:18" s="107" customFormat="1" ht="60">
      <c r="A54" s="566"/>
      <c r="B54" s="565"/>
      <c r="C54" s="484" t="s">
        <v>345</v>
      </c>
      <c r="D54" s="484" t="s">
        <v>687</v>
      </c>
      <c r="E54" s="484" t="s">
        <v>505</v>
      </c>
      <c r="F54" s="254"/>
      <c r="G54" s="254"/>
      <c r="H54" s="254"/>
      <c r="I54" s="439" t="s">
        <v>495</v>
      </c>
      <c r="J54" s="439" t="s">
        <v>67</v>
      </c>
      <c r="K54" s="439" t="s">
        <v>496</v>
      </c>
      <c r="L54" s="439"/>
      <c r="M54" s="135"/>
      <c r="N54" s="84"/>
      <c r="O54" s="84"/>
      <c r="P54" s="84"/>
      <c r="Q54" s="84"/>
      <c r="R54" s="84"/>
    </row>
    <row r="55" spans="1:18" s="107" customFormat="1" ht="48">
      <c r="A55" s="436"/>
      <c r="B55" s="439"/>
      <c r="C55" s="484"/>
      <c r="D55" s="484"/>
      <c r="E55" s="484"/>
      <c r="F55" s="484"/>
      <c r="G55" s="484"/>
      <c r="H55" s="484"/>
      <c r="I55" s="484" t="s">
        <v>90</v>
      </c>
      <c r="J55" s="484" t="s">
        <v>67</v>
      </c>
      <c r="K55" s="485" t="s">
        <v>70</v>
      </c>
      <c r="L55" s="439"/>
      <c r="M55" s="439"/>
      <c r="N55" s="84"/>
      <c r="O55" s="84"/>
      <c r="P55" s="84"/>
      <c r="Q55" s="84"/>
      <c r="R55" s="84"/>
    </row>
    <row r="56" spans="1:18" s="107" customFormat="1" ht="48.75" customHeight="1">
      <c r="A56" s="566" t="s">
        <v>671</v>
      </c>
      <c r="B56" s="482"/>
      <c r="C56" s="484" t="s">
        <v>345</v>
      </c>
      <c r="D56" s="484" t="s">
        <v>800</v>
      </c>
      <c r="E56" s="484" t="s">
        <v>505</v>
      </c>
      <c r="F56" s="540" t="s">
        <v>317</v>
      </c>
      <c r="G56" s="540" t="s">
        <v>318</v>
      </c>
      <c r="H56" s="540" t="s">
        <v>300</v>
      </c>
      <c r="I56" s="540" t="s">
        <v>1417</v>
      </c>
      <c r="J56" s="540" t="s">
        <v>67</v>
      </c>
      <c r="K56" s="612" t="s">
        <v>859</v>
      </c>
      <c r="L56" s="95" t="s">
        <v>42</v>
      </c>
      <c r="M56" s="95" t="s">
        <v>35</v>
      </c>
      <c r="N56" s="104">
        <v>1420.4</v>
      </c>
      <c r="O56" s="104">
        <v>1420.4</v>
      </c>
      <c r="P56" s="104">
        <v>1717.008</v>
      </c>
      <c r="Q56" s="104">
        <v>1867.5</v>
      </c>
      <c r="R56" s="104">
        <v>1867.5</v>
      </c>
    </row>
    <row r="57" spans="1:18" s="107" customFormat="1" ht="46.5" customHeight="1">
      <c r="A57" s="566"/>
      <c r="B57" s="482" t="s">
        <v>319</v>
      </c>
      <c r="C57" s="484"/>
      <c r="D57" s="484"/>
      <c r="E57" s="484"/>
      <c r="F57" s="540"/>
      <c r="G57" s="540"/>
      <c r="H57" s="540"/>
      <c r="I57" s="540"/>
      <c r="J57" s="540"/>
      <c r="K57" s="612"/>
      <c r="L57" s="95" t="s">
        <v>42</v>
      </c>
      <c r="M57" s="95" t="s">
        <v>35</v>
      </c>
      <c r="N57" s="84">
        <v>2868.1149999999998</v>
      </c>
      <c r="O57" s="84">
        <v>1554.835</v>
      </c>
      <c r="P57" s="84">
        <v>4534.6000000000004</v>
      </c>
      <c r="Q57" s="84">
        <v>4391</v>
      </c>
      <c r="R57" s="84">
        <v>4391</v>
      </c>
    </row>
    <row r="58" spans="1:18" s="107" customFormat="1" ht="96.75" customHeight="1">
      <c r="A58" s="51" t="s">
        <v>772</v>
      </c>
      <c r="B58" s="482" t="s">
        <v>471</v>
      </c>
      <c r="C58" s="484" t="s">
        <v>345</v>
      </c>
      <c r="D58" s="484" t="s">
        <v>333</v>
      </c>
      <c r="E58" s="484" t="s">
        <v>316</v>
      </c>
      <c r="F58" s="484" t="s">
        <v>762</v>
      </c>
      <c r="G58" s="484" t="s">
        <v>69</v>
      </c>
      <c r="H58" s="484" t="s">
        <v>763</v>
      </c>
      <c r="I58" s="484" t="s">
        <v>1350</v>
      </c>
      <c r="J58" s="484" t="s">
        <v>67</v>
      </c>
      <c r="K58" s="485" t="s">
        <v>1149</v>
      </c>
      <c r="L58" s="200" t="s">
        <v>42</v>
      </c>
      <c r="M58" s="201" t="s">
        <v>35</v>
      </c>
      <c r="N58" s="104">
        <v>857.8</v>
      </c>
      <c r="O58" s="104">
        <v>857.8</v>
      </c>
      <c r="P58" s="104">
        <v>870.8</v>
      </c>
      <c r="Q58" s="104">
        <v>870.8</v>
      </c>
      <c r="R58" s="104">
        <v>870.8</v>
      </c>
    </row>
    <row r="59" spans="1:18" s="107" customFormat="1" ht="144" customHeight="1">
      <c r="A59" s="51" t="s">
        <v>1211</v>
      </c>
      <c r="B59" s="482" t="s">
        <v>331</v>
      </c>
      <c r="C59" s="484" t="s">
        <v>345</v>
      </c>
      <c r="D59" s="484" t="s">
        <v>330</v>
      </c>
      <c r="E59" s="484" t="s">
        <v>316</v>
      </c>
      <c r="F59" s="484" t="s">
        <v>764</v>
      </c>
      <c r="G59" s="485" t="s">
        <v>67</v>
      </c>
      <c r="H59" s="484" t="s">
        <v>417</v>
      </c>
      <c r="I59" s="484" t="s">
        <v>1415</v>
      </c>
      <c r="J59" s="484" t="s">
        <v>67</v>
      </c>
      <c r="K59" s="485" t="s">
        <v>117</v>
      </c>
      <c r="L59" s="71" t="s">
        <v>42</v>
      </c>
      <c r="M59" s="146" t="s">
        <v>35</v>
      </c>
      <c r="N59" s="118">
        <v>428.64600000000002</v>
      </c>
      <c r="O59" s="118">
        <v>386.69400000000002</v>
      </c>
      <c r="P59" s="118">
        <v>406.44400000000002</v>
      </c>
      <c r="Q59" s="118">
        <v>398.63200000000001</v>
      </c>
      <c r="R59" s="118">
        <v>398.63200000000001</v>
      </c>
    </row>
    <row r="60" spans="1:18" s="107" customFormat="1" ht="42.75" customHeight="1">
      <c r="A60" s="566" t="s">
        <v>1212</v>
      </c>
      <c r="B60" s="482" t="s">
        <v>817</v>
      </c>
      <c r="C60" s="484"/>
      <c r="D60" s="484"/>
      <c r="E60" s="484"/>
      <c r="F60" s="484"/>
      <c r="G60" s="485"/>
      <c r="H60" s="484"/>
      <c r="I60" s="540" t="s">
        <v>928</v>
      </c>
      <c r="J60" s="540" t="s">
        <v>67</v>
      </c>
      <c r="K60" s="612" t="s">
        <v>929</v>
      </c>
      <c r="L60" s="482" t="s">
        <v>42</v>
      </c>
      <c r="M60" s="482" t="s">
        <v>35</v>
      </c>
      <c r="N60" s="84">
        <v>1532.22</v>
      </c>
      <c r="O60" s="84">
        <v>1531.5640000000001</v>
      </c>
      <c r="P60" s="84">
        <v>760.83799999999997</v>
      </c>
      <c r="Q60" s="84">
        <v>760.84199999999998</v>
      </c>
      <c r="R60" s="84">
        <v>1521.45</v>
      </c>
    </row>
    <row r="61" spans="1:18" s="107" customFormat="1" ht="42.75" customHeight="1">
      <c r="A61" s="566"/>
      <c r="B61" s="482" t="s">
        <v>814</v>
      </c>
      <c r="C61" s="484"/>
      <c r="D61" s="484"/>
      <c r="E61" s="484"/>
      <c r="F61" s="484"/>
      <c r="G61" s="485"/>
      <c r="H61" s="484"/>
      <c r="I61" s="540"/>
      <c r="J61" s="540"/>
      <c r="K61" s="612"/>
      <c r="L61" s="482" t="s">
        <v>42</v>
      </c>
      <c r="M61" s="482" t="s">
        <v>35</v>
      </c>
      <c r="N61" s="84">
        <f>94.789/2</f>
        <v>47.394500000000001</v>
      </c>
      <c r="O61" s="84">
        <f>94.736/2</f>
        <v>47.368000000000002</v>
      </c>
      <c r="P61" s="84">
        <v>23.530999999999999</v>
      </c>
      <c r="Q61" s="84">
        <v>23.530999999999999</v>
      </c>
      <c r="R61" s="84">
        <v>47.055</v>
      </c>
    </row>
    <row r="62" spans="1:18" s="107" customFormat="1" ht="30.75" customHeight="1">
      <c r="A62" s="566" t="s">
        <v>1418</v>
      </c>
      <c r="B62" s="482" t="s">
        <v>815</v>
      </c>
      <c r="C62" s="484"/>
      <c r="D62" s="484"/>
      <c r="E62" s="484"/>
      <c r="F62" s="484"/>
      <c r="G62" s="485"/>
      <c r="H62" s="484"/>
      <c r="I62" s="540" t="s">
        <v>1419</v>
      </c>
      <c r="J62" s="540" t="s">
        <v>67</v>
      </c>
      <c r="K62" s="612" t="s">
        <v>1420</v>
      </c>
      <c r="L62" s="482" t="s">
        <v>42</v>
      </c>
      <c r="M62" s="482" t="s">
        <v>35</v>
      </c>
      <c r="N62" s="84">
        <f>8534.207/2</f>
        <v>4267.1035000000002</v>
      </c>
      <c r="O62" s="84">
        <f>8534.207/2</f>
        <v>4267.1035000000002</v>
      </c>
      <c r="P62" s="84">
        <v>3685.127</v>
      </c>
      <c r="Q62" s="84">
        <v>768.43899999999996</v>
      </c>
      <c r="R62" s="84">
        <v>1516.77</v>
      </c>
    </row>
    <row r="63" spans="1:18" s="107" customFormat="1" ht="30.75" customHeight="1">
      <c r="A63" s="566"/>
      <c r="B63" s="482" t="s">
        <v>816</v>
      </c>
      <c r="C63" s="484"/>
      <c r="D63" s="484"/>
      <c r="E63" s="484"/>
      <c r="F63" s="484"/>
      <c r="G63" s="485"/>
      <c r="H63" s="484"/>
      <c r="I63" s="540"/>
      <c r="J63" s="540"/>
      <c r="K63" s="612"/>
      <c r="L63" s="482" t="s">
        <v>42</v>
      </c>
      <c r="M63" s="144" t="s">
        <v>35</v>
      </c>
      <c r="N63" s="84">
        <f>263.945/2</f>
        <v>131.9725</v>
      </c>
      <c r="O63" s="84">
        <f>263.945/2</f>
        <v>131.9725</v>
      </c>
      <c r="P63" s="84">
        <v>113.973</v>
      </c>
      <c r="Q63" s="84">
        <v>23.765999999999998</v>
      </c>
      <c r="R63" s="84">
        <v>46.911000000000001</v>
      </c>
    </row>
    <row r="64" spans="1:18" s="107" customFormat="1" ht="144" customHeight="1">
      <c r="A64" s="436" t="s">
        <v>1213</v>
      </c>
      <c r="B64" s="482" t="s">
        <v>841</v>
      </c>
      <c r="C64" s="484"/>
      <c r="D64" s="484"/>
      <c r="E64" s="484"/>
      <c r="F64" s="484"/>
      <c r="G64" s="485"/>
      <c r="H64" s="484"/>
      <c r="I64" s="484" t="s">
        <v>1485</v>
      </c>
      <c r="J64" s="484" t="s">
        <v>67</v>
      </c>
      <c r="K64" s="485" t="s">
        <v>1486</v>
      </c>
      <c r="L64" s="482" t="s">
        <v>42</v>
      </c>
      <c r="M64" s="144" t="s">
        <v>35</v>
      </c>
      <c r="N64" s="84">
        <v>1226.3800000000001</v>
      </c>
      <c r="O64" s="84">
        <v>1151.9349999999999</v>
      </c>
      <c r="P64" s="84">
        <v>1227.335</v>
      </c>
      <c r="Q64" s="84">
        <v>620.5</v>
      </c>
      <c r="R64" s="84">
        <v>888.05</v>
      </c>
    </row>
    <row r="65" spans="1:18" s="107" customFormat="1" ht="60">
      <c r="A65" s="436" t="s">
        <v>1214</v>
      </c>
      <c r="B65" s="482" t="s">
        <v>912</v>
      </c>
      <c r="C65" s="484"/>
      <c r="D65" s="484"/>
      <c r="E65" s="484"/>
      <c r="F65" s="484"/>
      <c r="G65" s="485"/>
      <c r="H65" s="484"/>
      <c r="I65" s="439" t="s">
        <v>1066</v>
      </c>
      <c r="J65" s="439" t="s">
        <v>67</v>
      </c>
      <c r="K65" s="439" t="s">
        <v>1067</v>
      </c>
      <c r="L65" s="482" t="s">
        <v>42</v>
      </c>
      <c r="M65" s="144" t="s">
        <v>35</v>
      </c>
      <c r="N65" s="84">
        <v>1923.45</v>
      </c>
      <c r="O65" s="84">
        <v>1923.35</v>
      </c>
      <c r="P65" s="84">
        <v>0</v>
      </c>
      <c r="Q65" s="84">
        <v>0</v>
      </c>
      <c r="R65" s="84">
        <v>0</v>
      </c>
    </row>
    <row r="66" spans="1:18" s="107" customFormat="1" ht="168" customHeight="1">
      <c r="A66" s="436" t="s">
        <v>1215</v>
      </c>
      <c r="B66" s="482" t="s">
        <v>1070</v>
      </c>
      <c r="C66" s="484"/>
      <c r="D66" s="484"/>
      <c r="E66" s="484"/>
      <c r="F66" s="484"/>
      <c r="G66" s="485"/>
      <c r="H66" s="484"/>
      <c r="I66" s="484" t="s">
        <v>1344</v>
      </c>
      <c r="J66" s="484" t="s">
        <v>67</v>
      </c>
      <c r="K66" s="485" t="s">
        <v>1345</v>
      </c>
      <c r="L66" s="482" t="s">
        <v>42</v>
      </c>
      <c r="M66" s="144" t="s">
        <v>35</v>
      </c>
      <c r="N66" s="84">
        <v>6718.6750000000002</v>
      </c>
      <c r="O66" s="84">
        <v>6600.58</v>
      </c>
      <c r="P66" s="84">
        <v>20311.2</v>
      </c>
      <c r="Q66" s="84">
        <v>21170.52</v>
      </c>
      <c r="R66" s="84">
        <v>21014.28</v>
      </c>
    </row>
    <row r="67" spans="1:18" s="107" customFormat="1" ht="61.5" customHeight="1">
      <c r="A67" s="51" t="s">
        <v>1216</v>
      </c>
      <c r="B67" s="482" t="s">
        <v>909</v>
      </c>
      <c r="C67" s="484"/>
      <c r="D67" s="484"/>
      <c r="E67" s="484"/>
      <c r="F67" s="484"/>
      <c r="G67" s="485"/>
      <c r="H67" s="484"/>
      <c r="I67" s="540" t="s">
        <v>1348</v>
      </c>
      <c r="J67" s="565" t="s">
        <v>67</v>
      </c>
      <c r="K67" s="565" t="s">
        <v>1013</v>
      </c>
      <c r="L67" s="482" t="s">
        <v>42</v>
      </c>
      <c r="M67" s="144" t="s">
        <v>35</v>
      </c>
      <c r="N67" s="84">
        <v>702.27099999999996</v>
      </c>
      <c r="O67" s="84">
        <v>702.27099999999996</v>
      </c>
      <c r="P67" s="84">
        <v>1656.7729999999999</v>
      </c>
      <c r="Q67" s="84">
        <v>0</v>
      </c>
      <c r="R67" s="84">
        <v>0</v>
      </c>
    </row>
    <row r="68" spans="1:18" s="107" customFormat="1" ht="72.75" customHeight="1">
      <c r="A68" s="51" t="s">
        <v>1217</v>
      </c>
      <c r="B68" s="482" t="s">
        <v>911</v>
      </c>
      <c r="C68" s="484"/>
      <c r="D68" s="484"/>
      <c r="E68" s="484"/>
      <c r="F68" s="484"/>
      <c r="G68" s="485"/>
      <c r="H68" s="484"/>
      <c r="I68" s="540"/>
      <c r="J68" s="565"/>
      <c r="K68" s="565"/>
      <c r="L68" s="482" t="s">
        <v>42</v>
      </c>
      <c r="M68" s="144" t="s">
        <v>35</v>
      </c>
      <c r="N68" s="84">
        <v>18.292999999999999</v>
      </c>
      <c r="O68" s="84">
        <v>18.292999999999999</v>
      </c>
      <c r="P68" s="84">
        <v>51.24</v>
      </c>
      <c r="Q68" s="84">
        <v>0</v>
      </c>
      <c r="R68" s="84">
        <v>0</v>
      </c>
    </row>
    <row r="69" spans="1:18" s="107" customFormat="1" ht="108.75" customHeight="1">
      <c r="A69" s="566" t="s">
        <v>1218</v>
      </c>
      <c r="B69" s="482" t="s">
        <v>1100</v>
      </c>
      <c r="C69" s="484"/>
      <c r="D69" s="484"/>
      <c r="E69" s="484"/>
      <c r="F69" s="484"/>
      <c r="G69" s="485"/>
      <c r="H69" s="484"/>
      <c r="I69" s="565" t="s">
        <v>1347</v>
      </c>
      <c r="J69" s="439" t="s">
        <v>67</v>
      </c>
      <c r="K69" s="439" t="s">
        <v>1346</v>
      </c>
      <c r="L69" s="482" t="s">
        <v>42</v>
      </c>
      <c r="M69" s="144" t="s">
        <v>35</v>
      </c>
      <c r="N69" s="84">
        <v>4617.5780000000004</v>
      </c>
      <c r="O69" s="84">
        <v>4510.5219999999999</v>
      </c>
      <c r="P69" s="84">
        <v>11571.289000000001</v>
      </c>
      <c r="Q69" s="84">
        <v>9014.5</v>
      </c>
      <c r="R69" s="84">
        <v>8431.7240000000002</v>
      </c>
    </row>
    <row r="70" spans="1:18" s="107" customFormat="1" ht="83.25" customHeight="1">
      <c r="A70" s="566"/>
      <c r="B70" s="482" t="s">
        <v>1101</v>
      </c>
      <c r="C70" s="484"/>
      <c r="D70" s="484"/>
      <c r="E70" s="484"/>
      <c r="F70" s="484"/>
      <c r="G70" s="485"/>
      <c r="H70" s="484"/>
      <c r="I70" s="565"/>
      <c r="J70" s="439"/>
      <c r="K70" s="439"/>
      <c r="L70" s="482" t="s">
        <v>42</v>
      </c>
      <c r="M70" s="144" t="s">
        <v>35</v>
      </c>
      <c r="N70" s="84">
        <v>945.76900000000001</v>
      </c>
      <c r="O70" s="84">
        <v>923.84799999999996</v>
      </c>
      <c r="P70" s="84">
        <v>2370.0230000000001</v>
      </c>
      <c r="Q70" s="84">
        <v>1346.9939999999999</v>
      </c>
      <c r="R70" s="84">
        <v>1259.913</v>
      </c>
    </row>
    <row r="71" spans="1:18" s="107" customFormat="1" ht="168.75" customHeight="1">
      <c r="A71" s="436" t="s">
        <v>1219</v>
      </c>
      <c r="B71" s="482" t="s">
        <v>1099</v>
      </c>
      <c r="C71" s="484"/>
      <c r="D71" s="484"/>
      <c r="E71" s="484"/>
      <c r="F71" s="484"/>
      <c r="G71" s="485"/>
      <c r="H71" s="484"/>
      <c r="I71" s="439" t="s">
        <v>1137</v>
      </c>
      <c r="J71" s="439" t="s">
        <v>67</v>
      </c>
      <c r="K71" s="439" t="s">
        <v>1138</v>
      </c>
      <c r="L71" s="482" t="s">
        <v>42</v>
      </c>
      <c r="M71" s="144" t="s">
        <v>35</v>
      </c>
      <c r="N71" s="84">
        <v>2296.1610000000001</v>
      </c>
      <c r="O71" s="84">
        <v>2296.136</v>
      </c>
      <c r="P71" s="84">
        <v>0</v>
      </c>
      <c r="Q71" s="84">
        <v>0</v>
      </c>
      <c r="R71" s="84">
        <v>0</v>
      </c>
    </row>
    <row r="72" spans="1:18" s="107" customFormat="1" ht="60.75" customHeight="1">
      <c r="A72" s="436" t="s">
        <v>1289</v>
      </c>
      <c r="B72" s="482" t="s">
        <v>1017</v>
      </c>
      <c r="C72" s="484"/>
      <c r="D72" s="484"/>
      <c r="E72" s="484"/>
      <c r="F72" s="484"/>
      <c r="G72" s="485"/>
      <c r="H72" s="484"/>
      <c r="I72" s="439" t="s">
        <v>899</v>
      </c>
      <c r="J72" s="439"/>
      <c r="K72" s="439"/>
      <c r="L72" s="482"/>
      <c r="M72" s="144"/>
      <c r="N72" s="84">
        <v>0</v>
      </c>
      <c r="O72" s="84">
        <v>0</v>
      </c>
      <c r="P72" s="84">
        <v>2200</v>
      </c>
      <c r="Q72" s="84">
        <v>0</v>
      </c>
      <c r="R72" s="84">
        <v>0</v>
      </c>
    </row>
    <row r="73" spans="1:18" s="107" customFormat="1" ht="36">
      <c r="A73" s="436" t="s">
        <v>1290</v>
      </c>
      <c r="B73" s="482" t="s">
        <v>1291</v>
      </c>
      <c r="C73" s="484"/>
      <c r="D73" s="484"/>
      <c r="E73" s="484"/>
      <c r="F73" s="484"/>
      <c r="G73" s="485"/>
      <c r="H73" s="484"/>
      <c r="I73" s="439" t="s">
        <v>899</v>
      </c>
      <c r="J73" s="439"/>
      <c r="K73" s="439"/>
      <c r="L73" s="482"/>
      <c r="M73" s="144"/>
      <c r="N73" s="84">
        <v>0</v>
      </c>
      <c r="O73" s="84">
        <v>0</v>
      </c>
      <c r="P73" s="84">
        <v>646.65</v>
      </c>
      <c r="Q73" s="84">
        <v>0</v>
      </c>
      <c r="R73" s="84">
        <v>0</v>
      </c>
    </row>
    <row r="74" spans="1:18" s="107" customFormat="1" ht="72">
      <c r="A74" s="436" t="s">
        <v>1292</v>
      </c>
      <c r="B74" s="482" t="s">
        <v>1293</v>
      </c>
      <c r="C74" s="484"/>
      <c r="D74" s="484"/>
      <c r="E74" s="484"/>
      <c r="F74" s="484"/>
      <c r="G74" s="485"/>
      <c r="H74" s="484"/>
      <c r="I74" s="439" t="s">
        <v>899</v>
      </c>
      <c r="J74" s="439"/>
      <c r="K74" s="439"/>
      <c r="L74" s="482"/>
      <c r="M74" s="144"/>
      <c r="N74" s="84">
        <v>0</v>
      </c>
      <c r="O74" s="84">
        <v>0</v>
      </c>
      <c r="P74" s="84">
        <v>0</v>
      </c>
      <c r="Q74" s="84">
        <v>0</v>
      </c>
      <c r="R74" s="84">
        <v>4044</v>
      </c>
    </row>
    <row r="75" spans="1:18" s="107" customFormat="1" ht="86.25" customHeight="1">
      <c r="A75" s="51" t="s">
        <v>1220</v>
      </c>
      <c r="B75" s="482"/>
      <c r="C75" s="484" t="s">
        <v>346</v>
      </c>
      <c r="D75" s="484" t="s">
        <v>313</v>
      </c>
      <c r="E75" s="484" t="s">
        <v>59</v>
      </c>
      <c r="F75" s="484" t="s">
        <v>344</v>
      </c>
      <c r="G75" s="484" t="s">
        <v>314</v>
      </c>
      <c r="H75" s="484" t="s">
        <v>222</v>
      </c>
      <c r="I75" s="484" t="s">
        <v>1352</v>
      </c>
      <c r="J75" s="484" t="s">
        <v>130</v>
      </c>
      <c r="K75" s="484" t="s">
        <v>131</v>
      </c>
      <c r="L75" s="482" t="s">
        <v>42</v>
      </c>
      <c r="M75" s="144" t="s">
        <v>35</v>
      </c>
      <c r="N75" s="84">
        <f>220+86.38</f>
        <v>306.38</v>
      </c>
      <c r="O75" s="84">
        <f>220+86.38</f>
        <v>306.38</v>
      </c>
      <c r="P75" s="84">
        <f>2359.378+2200</f>
        <v>4559.3780000000006</v>
      </c>
      <c r="Q75" s="84">
        <v>0</v>
      </c>
      <c r="R75" s="84">
        <v>0</v>
      </c>
    </row>
    <row r="76" spans="1:18" s="107" customFormat="1" ht="61.5" customHeight="1">
      <c r="A76" s="51" t="s">
        <v>1221</v>
      </c>
      <c r="B76" s="482"/>
      <c r="C76" s="484" t="s">
        <v>346</v>
      </c>
      <c r="D76" s="484" t="s">
        <v>313</v>
      </c>
      <c r="E76" s="484" t="s">
        <v>59</v>
      </c>
      <c r="F76" s="484" t="s">
        <v>344</v>
      </c>
      <c r="G76" s="484" t="s">
        <v>314</v>
      </c>
      <c r="H76" s="484" t="s">
        <v>222</v>
      </c>
      <c r="I76" s="484" t="s">
        <v>828</v>
      </c>
      <c r="J76" s="484" t="s">
        <v>67</v>
      </c>
      <c r="K76" s="485" t="s">
        <v>429</v>
      </c>
      <c r="L76" s="482" t="s">
        <v>42</v>
      </c>
      <c r="M76" s="144" t="s">
        <v>35</v>
      </c>
      <c r="N76" s="84">
        <f>507.799+670.908</f>
        <v>1178.7069999999999</v>
      </c>
      <c r="O76" s="84">
        <f>507.799+670.908</f>
        <v>1178.7069999999999</v>
      </c>
      <c r="P76" s="84">
        <f>899.001+978.008</f>
        <v>1877.009</v>
      </c>
      <c r="Q76" s="84">
        <f>679+983</f>
        <v>1662</v>
      </c>
      <c r="R76" s="84">
        <f>1054+983</f>
        <v>2037</v>
      </c>
    </row>
    <row r="77" spans="1:18" s="107" customFormat="1" ht="84">
      <c r="A77" s="51"/>
      <c r="B77" s="482"/>
      <c r="C77" s="484"/>
      <c r="D77" s="484"/>
      <c r="E77" s="484"/>
      <c r="F77" s="484"/>
      <c r="G77" s="484"/>
      <c r="H77" s="484"/>
      <c r="I77" s="484" t="s">
        <v>765</v>
      </c>
      <c r="J77" s="484" t="s">
        <v>67</v>
      </c>
      <c r="K77" s="485" t="s">
        <v>300</v>
      </c>
      <c r="L77" s="482"/>
      <c r="M77" s="144"/>
      <c r="N77" s="84"/>
      <c r="O77" s="84"/>
      <c r="P77" s="84"/>
      <c r="Q77" s="84"/>
      <c r="R77" s="84"/>
    </row>
    <row r="78" spans="1:18" s="107" customFormat="1" ht="48" customHeight="1">
      <c r="A78" s="51"/>
      <c r="B78" s="482"/>
      <c r="C78" s="484"/>
      <c r="D78" s="484"/>
      <c r="E78" s="484"/>
      <c r="F78" s="484"/>
      <c r="G78" s="484"/>
      <c r="H78" s="484"/>
      <c r="I78" s="484" t="s">
        <v>933</v>
      </c>
      <c r="J78" s="484" t="s">
        <v>67</v>
      </c>
      <c r="K78" s="485" t="s">
        <v>565</v>
      </c>
      <c r="L78" s="482"/>
      <c r="M78" s="144"/>
      <c r="N78" s="84"/>
      <c r="O78" s="84"/>
      <c r="P78" s="84"/>
      <c r="Q78" s="84"/>
      <c r="R78" s="84"/>
    </row>
    <row r="79" spans="1:18" s="107" customFormat="1" ht="71.25" customHeight="1">
      <c r="A79" s="51"/>
      <c r="B79" s="482"/>
      <c r="C79" s="484"/>
      <c r="D79" s="484"/>
      <c r="E79" s="484"/>
      <c r="F79" s="484"/>
      <c r="G79" s="484"/>
      <c r="H79" s="484"/>
      <c r="I79" s="484" t="s">
        <v>934</v>
      </c>
      <c r="J79" s="484" t="s">
        <v>67</v>
      </c>
      <c r="K79" s="485" t="s">
        <v>439</v>
      </c>
      <c r="L79" s="482"/>
      <c r="M79" s="144"/>
      <c r="N79" s="84"/>
      <c r="O79" s="84"/>
      <c r="P79" s="84"/>
      <c r="Q79" s="84"/>
      <c r="R79" s="84"/>
    </row>
    <row r="80" spans="1:18" s="107" customFormat="1" ht="110.25" customHeight="1">
      <c r="A80" s="51"/>
      <c r="B80" s="482"/>
      <c r="C80" s="439"/>
      <c r="D80" s="439"/>
      <c r="E80" s="439"/>
      <c r="F80" s="439"/>
      <c r="G80" s="439"/>
      <c r="H80" s="439"/>
      <c r="I80" s="484" t="s">
        <v>1353</v>
      </c>
      <c r="J80" s="484" t="s">
        <v>67</v>
      </c>
      <c r="K80" s="484" t="s">
        <v>486</v>
      </c>
      <c r="L80" s="482"/>
      <c r="M80" s="482"/>
      <c r="N80" s="84"/>
      <c r="O80" s="84"/>
      <c r="P80" s="84"/>
      <c r="Q80" s="84"/>
      <c r="R80" s="84"/>
    </row>
    <row r="81" spans="1:18" s="107" customFormat="1" ht="26.25" customHeight="1">
      <c r="A81" s="51" t="s">
        <v>1222</v>
      </c>
      <c r="B81" s="482"/>
      <c r="C81" s="439"/>
      <c r="D81" s="439"/>
      <c r="E81" s="439"/>
      <c r="F81" s="484"/>
      <c r="G81" s="439"/>
      <c r="H81" s="439"/>
      <c r="I81" s="439"/>
      <c r="J81" s="439"/>
      <c r="K81" s="439"/>
      <c r="L81" s="482"/>
      <c r="M81" s="482"/>
      <c r="N81" s="84"/>
      <c r="O81" s="84"/>
      <c r="P81" s="84"/>
      <c r="Q81" s="84"/>
      <c r="R81" s="84"/>
    </row>
    <row r="82" spans="1:18" s="107" customFormat="1" ht="48">
      <c r="A82" s="42"/>
      <c r="B82" s="509" t="s">
        <v>459</v>
      </c>
      <c r="C82" s="430"/>
      <c r="D82" s="430"/>
      <c r="E82" s="430"/>
      <c r="F82" s="430"/>
      <c r="G82" s="430"/>
      <c r="H82" s="430"/>
      <c r="I82" s="453" t="s">
        <v>1482</v>
      </c>
      <c r="J82" s="336" t="s">
        <v>67</v>
      </c>
      <c r="K82" s="339" t="s">
        <v>1483</v>
      </c>
      <c r="L82" s="509" t="s">
        <v>42</v>
      </c>
      <c r="M82" s="509" t="s">
        <v>35</v>
      </c>
      <c r="N82" s="110">
        <v>51.3</v>
      </c>
      <c r="O82" s="110">
        <v>51.3</v>
      </c>
      <c r="P82" s="110">
        <v>250</v>
      </c>
      <c r="Q82" s="110">
        <v>0</v>
      </c>
      <c r="R82" s="110">
        <v>0</v>
      </c>
    </row>
    <row r="83" spans="1:18" s="107" customFormat="1" ht="60">
      <c r="A83" s="42"/>
      <c r="B83" s="509" t="s">
        <v>470</v>
      </c>
      <c r="C83" s="430"/>
      <c r="D83" s="430"/>
      <c r="E83" s="430"/>
      <c r="F83" s="430"/>
      <c r="G83" s="430"/>
      <c r="H83" s="430"/>
      <c r="I83" s="430" t="s">
        <v>1050</v>
      </c>
      <c r="J83" s="336" t="s">
        <v>67</v>
      </c>
      <c r="K83" s="7" t="s">
        <v>1051</v>
      </c>
      <c r="L83" s="509" t="s">
        <v>42</v>
      </c>
      <c r="M83" s="509" t="s">
        <v>35</v>
      </c>
      <c r="N83" s="110">
        <v>244</v>
      </c>
      <c r="O83" s="110">
        <v>244</v>
      </c>
      <c r="P83" s="110">
        <v>0</v>
      </c>
      <c r="Q83" s="110">
        <v>0</v>
      </c>
      <c r="R83" s="110">
        <v>0</v>
      </c>
    </row>
    <row r="84" spans="1:18" s="107" customFormat="1" ht="60">
      <c r="A84" s="42"/>
      <c r="B84" s="509" t="s">
        <v>492</v>
      </c>
      <c r="C84" s="430"/>
      <c r="D84" s="430"/>
      <c r="E84" s="430"/>
      <c r="F84" s="430"/>
      <c r="G84" s="430"/>
      <c r="H84" s="430"/>
      <c r="I84" s="430" t="s">
        <v>1130</v>
      </c>
      <c r="J84" s="336" t="s">
        <v>67</v>
      </c>
      <c r="K84" s="7" t="s">
        <v>1150</v>
      </c>
      <c r="L84" s="509" t="s">
        <v>42</v>
      </c>
      <c r="M84" s="509" t="s">
        <v>35</v>
      </c>
      <c r="N84" s="110">
        <v>70.680000000000007</v>
      </c>
      <c r="O84" s="110">
        <v>70.680000000000007</v>
      </c>
      <c r="P84" s="110">
        <v>0</v>
      </c>
      <c r="Q84" s="110">
        <v>0</v>
      </c>
      <c r="R84" s="110">
        <v>0</v>
      </c>
    </row>
    <row r="85" spans="1:18" s="107" customFormat="1" ht="60">
      <c r="A85" s="45"/>
      <c r="B85" s="68" t="s">
        <v>500</v>
      </c>
      <c r="C85" s="433"/>
      <c r="D85" s="433"/>
      <c r="E85" s="433"/>
      <c r="F85" s="433"/>
      <c r="G85" s="433"/>
      <c r="H85" s="433"/>
      <c r="I85" s="433" t="s">
        <v>1169</v>
      </c>
      <c r="J85" s="340" t="s">
        <v>67</v>
      </c>
      <c r="K85" s="179" t="s">
        <v>1170</v>
      </c>
      <c r="L85" s="68" t="s">
        <v>42</v>
      </c>
      <c r="M85" s="68" t="s">
        <v>35</v>
      </c>
      <c r="N85" s="308">
        <v>200</v>
      </c>
      <c r="O85" s="308">
        <v>200</v>
      </c>
      <c r="P85" s="308">
        <v>0</v>
      </c>
      <c r="Q85" s="110">
        <v>0</v>
      </c>
      <c r="R85" s="308">
        <v>0</v>
      </c>
    </row>
    <row r="86" spans="1:18" s="107" customFormat="1" ht="146.25" customHeight="1">
      <c r="A86" s="195" t="s">
        <v>579</v>
      </c>
      <c r="B86" s="165" t="s">
        <v>543</v>
      </c>
      <c r="C86" s="196"/>
      <c r="D86" s="196"/>
      <c r="E86" s="196"/>
      <c r="F86" s="196"/>
      <c r="G86" s="196"/>
      <c r="H86" s="197"/>
      <c r="I86" s="196"/>
      <c r="J86" s="196"/>
      <c r="K86" s="197"/>
      <c r="L86" s="198"/>
      <c r="M86" s="198"/>
      <c r="N86" s="205">
        <f>SUM(N87:N115)</f>
        <v>66698.306500000006</v>
      </c>
      <c r="O86" s="205">
        <f>SUM(O87:O115)</f>
        <v>64407.586500000005</v>
      </c>
      <c r="P86" s="205">
        <f>SUM(P87:P116)</f>
        <v>87592.762000000002</v>
      </c>
      <c r="Q86" s="205">
        <f t="shared" ref="Q86:R86" si="15">SUM(Q87:Q116)</f>
        <v>78671.16</v>
      </c>
      <c r="R86" s="205">
        <f t="shared" si="15"/>
        <v>84256.421000000002</v>
      </c>
    </row>
    <row r="87" spans="1:18" s="107" customFormat="1" ht="156" customHeight="1">
      <c r="A87" s="563" t="s">
        <v>773</v>
      </c>
      <c r="B87" s="536"/>
      <c r="C87" s="498" t="s">
        <v>346</v>
      </c>
      <c r="D87" s="498" t="s">
        <v>338</v>
      </c>
      <c r="E87" s="498" t="s">
        <v>59</v>
      </c>
      <c r="F87" s="498" t="s">
        <v>344</v>
      </c>
      <c r="G87" s="498" t="s">
        <v>339</v>
      </c>
      <c r="H87" s="498" t="s">
        <v>222</v>
      </c>
      <c r="I87" s="484" t="s">
        <v>811</v>
      </c>
      <c r="J87" s="484" t="s">
        <v>67</v>
      </c>
      <c r="K87" s="484" t="s">
        <v>432</v>
      </c>
      <c r="L87" s="481" t="s">
        <v>42</v>
      </c>
      <c r="M87" s="512" t="s">
        <v>35</v>
      </c>
      <c r="N87" s="83">
        <f>36251.9+3067.268</f>
        <v>39319.168000000005</v>
      </c>
      <c r="O87" s="83">
        <f>35909.295+3067.268</f>
        <v>38976.562999999995</v>
      </c>
      <c r="P87" s="83">
        <f>38814.95+2107.3</f>
        <v>40922.25</v>
      </c>
      <c r="Q87" s="83">
        <v>38889.1</v>
      </c>
      <c r="R87" s="83">
        <v>39808.300000000003</v>
      </c>
    </row>
    <row r="88" spans="1:18" s="107" customFormat="1" ht="60">
      <c r="A88" s="566"/>
      <c r="B88" s="565"/>
      <c r="C88" s="484"/>
      <c r="D88" s="484"/>
      <c r="E88" s="484"/>
      <c r="F88" s="254"/>
      <c r="G88" s="254"/>
      <c r="H88" s="254"/>
      <c r="I88" s="439" t="s">
        <v>315</v>
      </c>
      <c r="J88" s="439" t="s">
        <v>67</v>
      </c>
      <c r="K88" s="439" t="s">
        <v>324</v>
      </c>
      <c r="L88" s="482"/>
      <c r="M88" s="144"/>
      <c r="N88" s="84"/>
      <c r="O88" s="84"/>
      <c r="P88" s="84"/>
      <c r="Q88" s="84"/>
      <c r="R88" s="84"/>
    </row>
    <row r="89" spans="1:18" s="107" customFormat="1" ht="60">
      <c r="A89" s="566"/>
      <c r="B89" s="565"/>
      <c r="C89" s="484" t="s">
        <v>345</v>
      </c>
      <c r="D89" s="484" t="s">
        <v>766</v>
      </c>
      <c r="E89" s="484" t="s">
        <v>505</v>
      </c>
      <c r="F89" s="254"/>
      <c r="G89" s="254"/>
      <c r="H89" s="254"/>
      <c r="I89" s="439" t="s">
        <v>495</v>
      </c>
      <c r="J89" s="439" t="s">
        <v>67</v>
      </c>
      <c r="K89" s="439" t="s">
        <v>496</v>
      </c>
      <c r="L89" s="439"/>
      <c r="M89" s="135"/>
      <c r="N89" s="84"/>
      <c r="O89" s="84"/>
      <c r="P89" s="84"/>
      <c r="Q89" s="84"/>
      <c r="R89" s="84"/>
    </row>
    <row r="90" spans="1:18" s="107" customFormat="1" ht="48">
      <c r="A90" s="436"/>
      <c r="B90" s="439"/>
      <c r="C90" s="484"/>
      <c r="D90" s="484"/>
      <c r="E90" s="484"/>
      <c r="F90" s="484"/>
      <c r="G90" s="484"/>
      <c r="H90" s="484"/>
      <c r="I90" s="484" t="s">
        <v>90</v>
      </c>
      <c r="J90" s="484" t="s">
        <v>67</v>
      </c>
      <c r="K90" s="485" t="s">
        <v>70</v>
      </c>
      <c r="L90" s="439"/>
      <c r="M90" s="439"/>
      <c r="N90" s="84"/>
      <c r="O90" s="84"/>
      <c r="P90" s="84"/>
      <c r="Q90" s="84"/>
      <c r="R90" s="84"/>
    </row>
    <row r="91" spans="1:18" s="107" customFormat="1" ht="47.25" customHeight="1">
      <c r="A91" s="566" t="s">
        <v>774</v>
      </c>
      <c r="B91" s="482"/>
      <c r="C91" s="484" t="s">
        <v>345</v>
      </c>
      <c r="D91" s="484" t="s">
        <v>800</v>
      </c>
      <c r="E91" s="484" t="s">
        <v>505</v>
      </c>
      <c r="F91" s="540" t="s">
        <v>317</v>
      </c>
      <c r="G91" s="540" t="s">
        <v>318</v>
      </c>
      <c r="H91" s="540" t="s">
        <v>300</v>
      </c>
      <c r="I91" s="540" t="s">
        <v>1416</v>
      </c>
      <c r="J91" s="540" t="s">
        <v>67</v>
      </c>
      <c r="K91" s="612" t="s">
        <v>859</v>
      </c>
      <c r="L91" s="95" t="s">
        <v>42</v>
      </c>
      <c r="M91" s="95" t="s">
        <v>35</v>
      </c>
      <c r="N91" s="104">
        <v>1209.654</v>
      </c>
      <c r="O91" s="104">
        <v>1209.654</v>
      </c>
      <c r="P91" s="104">
        <v>1444.992</v>
      </c>
      <c r="Q91" s="104">
        <v>1294.5</v>
      </c>
      <c r="R91" s="104">
        <v>1294.5</v>
      </c>
    </row>
    <row r="92" spans="1:18" s="107" customFormat="1" ht="48" customHeight="1">
      <c r="A92" s="566"/>
      <c r="B92" s="482" t="s">
        <v>319</v>
      </c>
      <c r="C92" s="484"/>
      <c r="D92" s="484"/>
      <c r="E92" s="484"/>
      <c r="F92" s="540"/>
      <c r="G92" s="540"/>
      <c r="H92" s="540"/>
      <c r="I92" s="540"/>
      <c r="J92" s="540"/>
      <c r="K92" s="612"/>
      <c r="L92" s="95" t="s">
        <v>42</v>
      </c>
      <c r="M92" s="95" t="s">
        <v>35</v>
      </c>
      <c r="N92" s="84">
        <v>2741.386</v>
      </c>
      <c r="O92" s="84">
        <v>1430.175</v>
      </c>
      <c r="P92" s="84">
        <v>3566.5</v>
      </c>
      <c r="Q92" s="84">
        <v>3710.1</v>
      </c>
      <c r="R92" s="84">
        <v>3710.1</v>
      </c>
    </row>
    <row r="93" spans="1:18" s="107" customFormat="1" ht="144">
      <c r="A93" s="51" t="s">
        <v>775</v>
      </c>
      <c r="B93" s="482" t="s">
        <v>331</v>
      </c>
      <c r="C93" s="484" t="s">
        <v>345</v>
      </c>
      <c r="D93" s="484" t="s">
        <v>330</v>
      </c>
      <c r="E93" s="484" t="s">
        <v>332</v>
      </c>
      <c r="F93" s="484" t="s">
        <v>764</v>
      </c>
      <c r="G93" s="485" t="s">
        <v>67</v>
      </c>
      <c r="H93" s="484" t="s">
        <v>930</v>
      </c>
      <c r="I93" s="484" t="s">
        <v>1415</v>
      </c>
      <c r="J93" s="484" t="s">
        <v>67</v>
      </c>
      <c r="K93" s="485" t="s">
        <v>117</v>
      </c>
      <c r="L93" s="71" t="s">
        <v>42</v>
      </c>
      <c r="M93" s="146" t="s">
        <v>35</v>
      </c>
      <c r="N93" s="118">
        <v>759.35400000000004</v>
      </c>
      <c r="O93" s="118">
        <v>717.40200000000004</v>
      </c>
      <c r="P93" s="118">
        <v>609.55600000000004</v>
      </c>
      <c r="Q93" s="118">
        <v>617.36800000000005</v>
      </c>
      <c r="R93" s="118">
        <v>617.36800000000005</v>
      </c>
    </row>
    <row r="94" spans="1:18" s="107" customFormat="1" ht="37.5" customHeight="1">
      <c r="A94" s="566" t="s">
        <v>1223</v>
      </c>
      <c r="B94" s="482" t="s">
        <v>817</v>
      </c>
      <c r="C94" s="484"/>
      <c r="D94" s="484"/>
      <c r="E94" s="484"/>
      <c r="F94" s="484"/>
      <c r="G94" s="485"/>
      <c r="H94" s="484"/>
      <c r="I94" s="540" t="s">
        <v>928</v>
      </c>
      <c r="J94" s="540" t="s">
        <v>67</v>
      </c>
      <c r="K94" s="612" t="s">
        <v>929</v>
      </c>
      <c r="L94" s="95" t="s">
        <v>42</v>
      </c>
      <c r="M94" s="95" t="s">
        <v>35</v>
      </c>
      <c r="N94" s="104">
        <f>3064.439/2</f>
        <v>1532.2194999999999</v>
      </c>
      <c r="O94" s="104">
        <f>3063.127/2</f>
        <v>1531.5635</v>
      </c>
      <c r="P94" s="104">
        <v>760.83799999999997</v>
      </c>
      <c r="Q94" s="104">
        <v>760.84199999999998</v>
      </c>
      <c r="R94" s="104">
        <v>1521.45</v>
      </c>
    </row>
    <row r="95" spans="1:18" s="107" customFormat="1" ht="37.5" customHeight="1">
      <c r="A95" s="566"/>
      <c r="B95" s="482" t="s">
        <v>814</v>
      </c>
      <c r="C95" s="484"/>
      <c r="D95" s="484"/>
      <c r="E95" s="484"/>
      <c r="F95" s="484"/>
      <c r="G95" s="485"/>
      <c r="H95" s="484"/>
      <c r="I95" s="540"/>
      <c r="J95" s="540"/>
      <c r="K95" s="612"/>
      <c r="L95" s="95" t="s">
        <v>42</v>
      </c>
      <c r="M95" s="95" t="s">
        <v>35</v>
      </c>
      <c r="N95" s="104">
        <f>94.776/2</f>
        <v>47.387999999999998</v>
      </c>
      <c r="O95" s="104">
        <f>94.736/2</f>
        <v>47.368000000000002</v>
      </c>
      <c r="P95" s="104">
        <v>23.530999999999999</v>
      </c>
      <c r="Q95" s="104">
        <v>23.530999999999999</v>
      </c>
      <c r="R95" s="104">
        <v>47.055</v>
      </c>
    </row>
    <row r="96" spans="1:18" s="107" customFormat="1" ht="29.25" customHeight="1">
      <c r="A96" s="566" t="s">
        <v>1421</v>
      </c>
      <c r="B96" s="482" t="s">
        <v>815</v>
      </c>
      <c r="C96" s="484"/>
      <c r="D96" s="484"/>
      <c r="E96" s="484"/>
      <c r="F96" s="484"/>
      <c r="G96" s="485"/>
      <c r="H96" s="484"/>
      <c r="I96" s="540" t="s">
        <v>1419</v>
      </c>
      <c r="J96" s="540" t="s">
        <v>67</v>
      </c>
      <c r="K96" s="612" t="s">
        <v>1420</v>
      </c>
      <c r="L96" s="95" t="s">
        <v>42</v>
      </c>
      <c r="M96" s="95" t="s">
        <v>35</v>
      </c>
      <c r="N96" s="104">
        <f>8534.207/2</f>
        <v>4267.1035000000002</v>
      </c>
      <c r="O96" s="104">
        <f>8534.207/2</f>
        <v>4267.1035000000002</v>
      </c>
      <c r="P96" s="118">
        <v>3685.127</v>
      </c>
      <c r="Q96" s="118">
        <v>768.43899999999996</v>
      </c>
      <c r="R96" s="118">
        <v>1516.77</v>
      </c>
    </row>
    <row r="97" spans="1:18" s="107" customFormat="1" ht="29.25" customHeight="1">
      <c r="A97" s="566"/>
      <c r="B97" s="482" t="s">
        <v>816</v>
      </c>
      <c r="C97" s="484"/>
      <c r="D97" s="484"/>
      <c r="E97" s="484"/>
      <c r="F97" s="484"/>
      <c r="G97" s="485"/>
      <c r="H97" s="484"/>
      <c r="I97" s="540"/>
      <c r="J97" s="540"/>
      <c r="K97" s="612"/>
      <c r="L97" s="95" t="s">
        <v>42</v>
      </c>
      <c r="M97" s="95" t="s">
        <v>35</v>
      </c>
      <c r="N97" s="104">
        <f>263.945/2</f>
        <v>131.9725</v>
      </c>
      <c r="O97" s="104">
        <f>263.945/2</f>
        <v>131.9725</v>
      </c>
      <c r="P97" s="104">
        <v>113.973</v>
      </c>
      <c r="Q97" s="104">
        <v>23.765999999999998</v>
      </c>
      <c r="R97" s="104">
        <v>46.911000000000001</v>
      </c>
    </row>
    <row r="98" spans="1:18" s="107" customFormat="1" ht="167.25" customHeight="1">
      <c r="A98" s="436" t="s">
        <v>1224</v>
      </c>
      <c r="B98" s="482" t="s">
        <v>1070</v>
      </c>
      <c r="C98" s="484"/>
      <c r="D98" s="484"/>
      <c r="E98" s="484"/>
      <c r="F98" s="484"/>
      <c r="G98" s="485"/>
      <c r="H98" s="484"/>
      <c r="I98" s="484" t="s">
        <v>1344</v>
      </c>
      <c r="J98" s="484" t="s">
        <v>67</v>
      </c>
      <c r="K98" s="485" t="s">
        <v>1346</v>
      </c>
      <c r="L98" s="481" t="s">
        <v>42</v>
      </c>
      <c r="M98" s="481" t="s">
        <v>35</v>
      </c>
      <c r="N98" s="83">
        <v>7238.7659999999996</v>
      </c>
      <c r="O98" s="83">
        <v>7120.6710000000003</v>
      </c>
      <c r="P98" s="104">
        <v>21717.360000000001</v>
      </c>
      <c r="Q98" s="104">
        <v>21170.52</v>
      </c>
      <c r="R98" s="104">
        <v>21014.28</v>
      </c>
    </row>
    <row r="99" spans="1:18" s="107" customFormat="1" ht="84.75" customHeight="1">
      <c r="A99" s="51" t="s">
        <v>1225</v>
      </c>
      <c r="B99" s="482"/>
      <c r="C99" s="484" t="s">
        <v>346</v>
      </c>
      <c r="D99" s="484" t="s">
        <v>313</v>
      </c>
      <c r="E99" s="484" t="s">
        <v>59</v>
      </c>
      <c r="F99" s="484" t="s">
        <v>344</v>
      </c>
      <c r="G99" s="484" t="s">
        <v>314</v>
      </c>
      <c r="H99" s="484" t="s">
        <v>222</v>
      </c>
      <c r="I99" s="484" t="s">
        <v>1354</v>
      </c>
      <c r="J99" s="484" t="s">
        <v>130</v>
      </c>
      <c r="K99" s="484" t="s">
        <v>131</v>
      </c>
      <c r="L99" s="481" t="s">
        <v>42</v>
      </c>
      <c r="M99" s="481" t="s">
        <v>35</v>
      </c>
      <c r="N99" s="83">
        <f>15+919.911</f>
        <v>934.91099999999994</v>
      </c>
      <c r="O99" s="83">
        <f>15+919.911</f>
        <v>934.91099999999994</v>
      </c>
      <c r="P99" s="83">
        <f>2367.029+1350</f>
        <v>3717.029</v>
      </c>
      <c r="Q99" s="83">
        <v>0</v>
      </c>
      <c r="R99" s="83">
        <v>0</v>
      </c>
    </row>
    <row r="100" spans="1:18" s="107" customFormat="1" ht="72">
      <c r="A100" s="51" t="s">
        <v>1226</v>
      </c>
      <c r="B100" s="482"/>
      <c r="C100" s="484" t="s">
        <v>346</v>
      </c>
      <c r="D100" s="484" t="s">
        <v>313</v>
      </c>
      <c r="E100" s="484" t="s">
        <v>59</v>
      </c>
      <c r="F100" s="484" t="s">
        <v>344</v>
      </c>
      <c r="G100" s="484" t="s">
        <v>314</v>
      </c>
      <c r="H100" s="484" t="s">
        <v>222</v>
      </c>
      <c r="I100" s="484" t="s">
        <v>828</v>
      </c>
      <c r="J100" s="484" t="s">
        <v>67</v>
      </c>
      <c r="K100" s="485" t="s">
        <v>429</v>
      </c>
      <c r="L100" s="69" t="s">
        <v>42</v>
      </c>
      <c r="M100" s="145" t="s">
        <v>35</v>
      </c>
      <c r="N100" s="118">
        <f>615.295</f>
        <v>615.29499999999996</v>
      </c>
      <c r="O100" s="118">
        <v>615.29499999999996</v>
      </c>
      <c r="P100" s="118">
        <v>210.999</v>
      </c>
      <c r="Q100" s="118">
        <v>431</v>
      </c>
      <c r="R100" s="118">
        <v>56</v>
      </c>
    </row>
    <row r="101" spans="1:18" s="107" customFormat="1" ht="48.75" customHeight="1">
      <c r="A101" s="51"/>
      <c r="B101" s="482"/>
      <c r="C101" s="484"/>
      <c r="D101" s="484"/>
      <c r="E101" s="484"/>
      <c r="F101" s="484"/>
      <c r="G101" s="484"/>
      <c r="H101" s="484"/>
      <c r="I101" s="484" t="s">
        <v>933</v>
      </c>
      <c r="J101" s="484" t="s">
        <v>67</v>
      </c>
      <c r="K101" s="485" t="s">
        <v>565</v>
      </c>
      <c r="L101" s="482"/>
      <c r="M101" s="144"/>
      <c r="N101" s="84"/>
      <c r="O101" s="84"/>
      <c r="P101" s="84"/>
      <c r="Q101" s="84"/>
      <c r="R101" s="84"/>
    </row>
    <row r="102" spans="1:18" s="107" customFormat="1" ht="72" customHeight="1">
      <c r="A102" s="51"/>
      <c r="B102" s="482"/>
      <c r="C102" s="484"/>
      <c r="D102" s="484"/>
      <c r="E102" s="484"/>
      <c r="F102" s="484"/>
      <c r="G102" s="484"/>
      <c r="H102" s="484"/>
      <c r="I102" s="484" t="s">
        <v>935</v>
      </c>
      <c r="J102" s="484" t="s">
        <v>67</v>
      </c>
      <c r="K102" s="485" t="s">
        <v>439</v>
      </c>
      <c r="L102" s="482"/>
      <c r="M102" s="144"/>
      <c r="N102" s="84"/>
      <c r="O102" s="84"/>
      <c r="P102" s="84"/>
      <c r="Q102" s="84"/>
      <c r="R102" s="84"/>
    </row>
    <row r="103" spans="1:18" s="107" customFormat="1" ht="108.75" customHeight="1">
      <c r="A103" s="51"/>
      <c r="B103" s="482"/>
      <c r="C103" s="439"/>
      <c r="D103" s="439"/>
      <c r="E103" s="439"/>
      <c r="F103" s="439"/>
      <c r="G103" s="439"/>
      <c r="H103" s="439"/>
      <c r="I103" s="484" t="s">
        <v>1355</v>
      </c>
      <c r="J103" s="484" t="s">
        <v>67</v>
      </c>
      <c r="K103" s="484" t="s">
        <v>486</v>
      </c>
      <c r="L103" s="70"/>
      <c r="M103" s="139"/>
      <c r="N103" s="84"/>
      <c r="O103" s="84"/>
      <c r="P103" s="84"/>
      <c r="Q103" s="84"/>
      <c r="R103" s="84"/>
    </row>
    <row r="104" spans="1:18" s="107" customFormat="1" ht="144">
      <c r="A104" s="436" t="s">
        <v>1227</v>
      </c>
      <c r="B104" s="482" t="s">
        <v>841</v>
      </c>
      <c r="C104" s="484"/>
      <c r="D104" s="484"/>
      <c r="E104" s="484"/>
      <c r="F104" s="484"/>
      <c r="G104" s="485"/>
      <c r="H104" s="484"/>
      <c r="I104" s="484" t="s">
        <v>1485</v>
      </c>
      <c r="J104" s="484" t="s">
        <v>67</v>
      </c>
      <c r="K104" s="485" t="s">
        <v>1486</v>
      </c>
      <c r="L104" s="95" t="s">
        <v>42</v>
      </c>
      <c r="M104" s="95" t="s">
        <v>35</v>
      </c>
      <c r="N104" s="104">
        <v>569.77200000000005</v>
      </c>
      <c r="O104" s="104">
        <v>477.75200000000001</v>
      </c>
      <c r="P104" s="104">
        <v>2048.3649999999998</v>
      </c>
      <c r="Q104" s="104">
        <v>620.5</v>
      </c>
      <c r="R104" s="104">
        <v>888.05</v>
      </c>
    </row>
    <row r="105" spans="1:18" s="107" customFormat="1" ht="60">
      <c r="A105" s="436" t="s">
        <v>1228</v>
      </c>
      <c r="B105" s="482" t="s">
        <v>912</v>
      </c>
      <c r="C105" s="484"/>
      <c r="D105" s="484"/>
      <c r="E105" s="484"/>
      <c r="F105" s="484"/>
      <c r="G105" s="485"/>
      <c r="H105" s="484"/>
      <c r="I105" s="439" t="s">
        <v>1066</v>
      </c>
      <c r="J105" s="439" t="s">
        <v>67</v>
      </c>
      <c r="K105" s="439" t="s">
        <v>1067</v>
      </c>
      <c r="L105" s="95" t="s">
        <v>42</v>
      </c>
      <c r="M105" s="148" t="s">
        <v>35</v>
      </c>
      <c r="N105" s="104">
        <v>752.15</v>
      </c>
      <c r="O105" s="104">
        <v>752.05</v>
      </c>
      <c r="P105" s="104">
        <v>0</v>
      </c>
      <c r="Q105" s="104">
        <v>0</v>
      </c>
      <c r="R105" s="104">
        <v>0</v>
      </c>
    </row>
    <row r="106" spans="1:18" s="107" customFormat="1" ht="71.25" customHeight="1">
      <c r="A106" s="51" t="s">
        <v>1229</v>
      </c>
      <c r="B106" s="482" t="s">
        <v>909</v>
      </c>
      <c r="C106" s="484"/>
      <c r="D106" s="484"/>
      <c r="E106" s="484"/>
      <c r="F106" s="484"/>
      <c r="G106" s="485"/>
      <c r="H106" s="484"/>
      <c r="I106" s="540" t="s">
        <v>1422</v>
      </c>
      <c r="J106" s="565" t="s">
        <v>67</v>
      </c>
      <c r="K106" s="439" t="s">
        <v>1423</v>
      </c>
      <c r="L106" s="95" t="s">
        <v>42</v>
      </c>
      <c r="M106" s="95" t="s">
        <v>35</v>
      </c>
      <c r="N106" s="104">
        <v>480.67399999999998</v>
      </c>
      <c r="O106" s="104">
        <v>480.67399999999998</v>
      </c>
      <c r="P106" s="104">
        <v>449.47899999999998</v>
      </c>
      <c r="Q106" s="104">
        <v>0</v>
      </c>
      <c r="R106" s="104">
        <v>0</v>
      </c>
    </row>
    <row r="107" spans="1:18" s="107" customFormat="1" ht="84.75" customHeight="1">
      <c r="A107" s="51" t="s">
        <v>1230</v>
      </c>
      <c r="B107" s="482" t="s">
        <v>911</v>
      </c>
      <c r="C107" s="484"/>
      <c r="D107" s="484"/>
      <c r="E107" s="484"/>
      <c r="F107" s="484"/>
      <c r="G107" s="485"/>
      <c r="H107" s="484"/>
      <c r="I107" s="540"/>
      <c r="J107" s="565"/>
      <c r="K107" s="439"/>
      <c r="L107" s="95" t="s">
        <v>42</v>
      </c>
      <c r="M107" s="95" t="s">
        <v>35</v>
      </c>
      <c r="N107" s="104">
        <v>18.292999999999999</v>
      </c>
      <c r="O107" s="104">
        <v>18.292999999999999</v>
      </c>
      <c r="P107" s="104">
        <v>13.901</v>
      </c>
      <c r="Q107" s="104">
        <v>0</v>
      </c>
      <c r="R107" s="104">
        <v>0</v>
      </c>
    </row>
    <row r="108" spans="1:18" s="107" customFormat="1" ht="60.75" customHeight="1">
      <c r="A108" s="51" t="s">
        <v>1231</v>
      </c>
      <c r="B108" s="482" t="s">
        <v>1017</v>
      </c>
      <c r="C108" s="484"/>
      <c r="D108" s="484"/>
      <c r="E108" s="484"/>
      <c r="F108" s="484"/>
      <c r="G108" s="485"/>
      <c r="H108" s="484"/>
      <c r="I108" s="439" t="s">
        <v>90</v>
      </c>
      <c r="J108" s="439" t="s">
        <v>67</v>
      </c>
      <c r="K108" s="439" t="s">
        <v>70</v>
      </c>
      <c r="L108" s="95" t="s">
        <v>42</v>
      </c>
      <c r="M108" s="95" t="s">
        <v>35</v>
      </c>
      <c r="N108" s="104">
        <v>1175</v>
      </c>
      <c r="O108" s="104">
        <v>919.91099999999994</v>
      </c>
      <c r="P108" s="104">
        <v>1350</v>
      </c>
      <c r="Q108" s="104">
        <v>0</v>
      </c>
      <c r="R108" s="104">
        <v>0</v>
      </c>
    </row>
    <row r="109" spans="1:18" s="107" customFormat="1" ht="95.25" customHeight="1">
      <c r="A109" s="566" t="s">
        <v>1232</v>
      </c>
      <c r="B109" s="482" t="s">
        <v>1100</v>
      </c>
      <c r="C109" s="484"/>
      <c r="D109" s="484"/>
      <c r="E109" s="484"/>
      <c r="F109" s="484"/>
      <c r="G109" s="485"/>
      <c r="H109" s="484"/>
      <c r="I109" s="565" t="s">
        <v>1347</v>
      </c>
      <c r="J109" s="439" t="s">
        <v>67</v>
      </c>
      <c r="K109" s="439" t="s">
        <v>1346</v>
      </c>
      <c r="L109" s="95" t="s">
        <v>42</v>
      </c>
      <c r="M109" s="95" t="s">
        <v>35</v>
      </c>
      <c r="N109" s="104">
        <v>2143.9870000000001</v>
      </c>
      <c r="O109" s="104">
        <v>2036.961</v>
      </c>
      <c r="P109" s="104">
        <v>5210.0860000000002</v>
      </c>
      <c r="Q109" s="104">
        <v>9014.5</v>
      </c>
      <c r="R109" s="104">
        <v>8431.7240000000002</v>
      </c>
    </row>
    <row r="110" spans="1:18" s="107" customFormat="1" ht="95.25" customHeight="1">
      <c r="A110" s="566"/>
      <c r="B110" s="482" t="s">
        <v>1101</v>
      </c>
      <c r="C110" s="484"/>
      <c r="D110" s="484"/>
      <c r="E110" s="484"/>
      <c r="F110" s="484"/>
      <c r="G110" s="485"/>
      <c r="H110" s="484"/>
      <c r="I110" s="565"/>
      <c r="J110" s="439"/>
      <c r="K110" s="439"/>
      <c r="L110" s="95" t="s">
        <v>42</v>
      </c>
      <c r="M110" s="95" t="s">
        <v>35</v>
      </c>
      <c r="N110" s="104">
        <v>439.13099999999997</v>
      </c>
      <c r="O110" s="104">
        <v>417.21</v>
      </c>
      <c r="P110" s="104">
        <v>1067.126</v>
      </c>
      <c r="Q110" s="104">
        <v>1346.9939999999999</v>
      </c>
      <c r="R110" s="104">
        <v>1259.913</v>
      </c>
    </row>
    <row r="111" spans="1:18" s="107" customFormat="1" ht="171.75" customHeight="1">
      <c r="A111" s="436" t="s">
        <v>1233</v>
      </c>
      <c r="B111" s="482" t="s">
        <v>1099</v>
      </c>
      <c r="C111" s="484"/>
      <c r="D111" s="484"/>
      <c r="E111" s="484"/>
      <c r="F111" s="484"/>
      <c r="G111" s="485"/>
      <c r="H111" s="484"/>
      <c r="I111" s="439" t="s">
        <v>1137</v>
      </c>
      <c r="J111" s="439" t="s">
        <v>67</v>
      </c>
      <c r="K111" s="439" t="s">
        <v>1138</v>
      </c>
      <c r="L111" s="95" t="s">
        <v>42</v>
      </c>
      <c r="M111" s="95" t="s">
        <v>35</v>
      </c>
      <c r="N111" s="104">
        <v>2024.0519999999999</v>
      </c>
      <c r="O111" s="104">
        <v>2024.027</v>
      </c>
      <c r="P111" s="104">
        <v>0</v>
      </c>
      <c r="Q111" s="104">
        <v>0</v>
      </c>
      <c r="R111" s="104">
        <v>0</v>
      </c>
    </row>
    <row r="112" spans="1:18" s="107" customFormat="1" ht="36.75" customHeight="1">
      <c r="A112" s="436" t="s">
        <v>1294</v>
      </c>
      <c r="B112" s="482" t="s">
        <v>1291</v>
      </c>
      <c r="C112" s="484"/>
      <c r="D112" s="484"/>
      <c r="E112" s="484"/>
      <c r="F112" s="484"/>
      <c r="G112" s="485"/>
      <c r="H112" s="484"/>
      <c r="I112" s="439" t="s">
        <v>899</v>
      </c>
      <c r="J112" s="439"/>
      <c r="K112" s="439"/>
      <c r="L112" s="95" t="s">
        <v>42</v>
      </c>
      <c r="M112" s="95" t="s">
        <v>35</v>
      </c>
      <c r="N112" s="104">
        <v>0</v>
      </c>
      <c r="O112" s="104">
        <v>0</v>
      </c>
      <c r="P112" s="104">
        <v>646.65</v>
      </c>
      <c r="Q112" s="104">
        <v>0</v>
      </c>
      <c r="R112" s="104">
        <v>0</v>
      </c>
    </row>
    <row r="113" spans="1:18" s="107" customFormat="1" ht="72">
      <c r="A113" s="436" t="s">
        <v>1295</v>
      </c>
      <c r="B113" s="482" t="s">
        <v>1293</v>
      </c>
      <c r="C113" s="484"/>
      <c r="D113" s="484"/>
      <c r="E113" s="484"/>
      <c r="F113" s="484"/>
      <c r="G113" s="485"/>
      <c r="H113" s="484"/>
      <c r="I113" s="439" t="s">
        <v>899</v>
      </c>
      <c r="J113" s="439"/>
      <c r="K113" s="439"/>
      <c r="L113" s="95" t="s">
        <v>42</v>
      </c>
      <c r="M113" s="95" t="s">
        <v>35</v>
      </c>
      <c r="N113" s="84">
        <v>0</v>
      </c>
      <c r="O113" s="84">
        <v>0</v>
      </c>
      <c r="P113" s="84">
        <v>0</v>
      </c>
      <c r="Q113" s="84">
        <v>0</v>
      </c>
      <c r="R113" s="84">
        <v>4044</v>
      </c>
    </row>
    <row r="114" spans="1:18" s="107" customFormat="1" ht="26.25" customHeight="1">
      <c r="A114" s="51" t="s">
        <v>1234</v>
      </c>
      <c r="B114" s="482"/>
      <c r="C114" s="439"/>
      <c r="D114" s="439"/>
      <c r="E114" s="439"/>
      <c r="F114" s="484"/>
      <c r="G114" s="439"/>
      <c r="H114" s="439"/>
      <c r="I114" s="439"/>
      <c r="J114" s="439"/>
      <c r="K114" s="439"/>
      <c r="L114" s="95"/>
      <c r="M114" s="95"/>
      <c r="N114" s="104"/>
      <c r="O114" s="104"/>
      <c r="P114" s="104"/>
      <c r="Q114" s="104"/>
      <c r="R114" s="104"/>
    </row>
    <row r="115" spans="1:18" s="107" customFormat="1" ht="60.75" customHeight="1">
      <c r="A115" s="42"/>
      <c r="B115" s="509" t="s">
        <v>464</v>
      </c>
      <c r="C115" s="430"/>
      <c r="D115" s="430"/>
      <c r="E115" s="430"/>
      <c r="F115" s="453"/>
      <c r="G115" s="430"/>
      <c r="H115" s="430"/>
      <c r="I115" s="430" t="s">
        <v>1038</v>
      </c>
      <c r="J115" s="430" t="s">
        <v>67</v>
      </c>
      <c r="K115" s="430" t="s">
        <v>1039</v>
      </c>
      <c r="L115" s="133" t="s">
        <v>42</v>
      </c>
      <c r="M115" s="95" t="s">
        <v>35</v>
      </c>
      <c r="N115" s="104">
        <v>298.02999999999997</v>
      </c>
      <c r="O115" s="104">
        <v>298.02999999999997</v>
      </c>
      <c r="P115" s="104">
        <v>0</v>
      </c>
      <c r="Q115" s="104">
        <v>0</v>
      </c>
      <c r="R115" s="104">
        <v>0</v>
      </c>
    </row>
    <row r="116" spans="1:18" s="107" customFormat="1" ht="60.75" customHeight="1">
      <c r="A116" s="408"/>
      <c r="B116" s="402" t="s">
        <v>476</v>
      </c>
      <c r="C116" s="447"/>
      <c r="D116" s="447"/>
      <c r="E116" s="447"/>
      <c r="F116" s="405"/>
      <c r="G116" s="447"/>
      <c r="H116" s="447"/>
      <c r="I116" s="430" t="s">
        <v>1443</v>
      </c>
      <c r="J116" s="447"/>
      <c r="K116" s="447"/>
      <c r="L116" s="526" t="s">
        <v>42</v>
      </c>
      <c r="M116" s="526" t="s">
        <v>35</v>
      </c>
      <c r="N116" s="527">
        <v>0</v>
      </c>
      <c r="O116" s="527">
        <v>0</v>
      </c>
      <c r="P116" s="527">
        <v>35</v>
      </c>
      <c r="Q116" s="527">
        <v>0</v>
      </c>
      <c r="R116" s="527">
        <v>0</v>
      </c>
    </row>
    <row r="117" spans="1:18" s="107" customFormat="1" ht="98.25" customHeight="1">
      <c r="A117" s="195" t="s">
        <v>581</v>
      </c>
      <c r="B117" s="165" t="s">
        <v>580</v>
      </c>
      <c r="C117" s="196"/>
      <c r="D117" s="196"/>
      <c r="E117" s="196"/>
      <c r="F117" s="196"/>
      <c r="G117" s="196"/>
      <c r="H117" s="197"/>
      <c r="I117" s="196"/>
      <c r="J117" s="196"/>
      <c r="K117" s="197"/>
      <c r="L117" s="68"/>
      <c r="M117" s="68"/>
      <c r="N117" s="241">
        <f>SUM(N118:N131)</f>
        <v>82564.391000000003</v>
      </c>
      <c r="O117" s="241">
        <f>SUM(O118:O131)</f>
        <v>82448.509999999995</v>
      </c>
      <c r="P117" s="241">
        <f>SUM(P118:P131)</f>
        <v>88978.770999999979</v>
      </c>
      <c r="Q117" s="241">
        <f>SUM(Q118:Q131)</f>
        <v>45318.8</v>
      </c>
      <c r="R117" s="241">
        <f>SUM(R118:R131)</f>
        <v>45441.700000000004</v>
      </c>
    </row>
    <row r="118" spans="1:18" s="107" customFormat="1" ht="60" customHeight="1">
      <c r="A118" s="566" t="s">
        <v>776</v>
      </c>
      <c r="B118" s="565"/>
      <c r="C118" s="484" t="s">
        <v>346</v>
      </c>
      <c r="D118" s="484" t="s">
        <v>341</v>
      </c>
      <c r="E118" s="484" t="s">
        <v>140</v>
      </c>
      <c r="F118" s="540" t="s">
        <v>344</v>
      </c>
      <c r="G118" s="540" t="s">
        <v>320</v>
      </c>
      <c r="H118" s="540" t="s">
        <v>222</v>
      </c>
      <c r="I118" s="484" t="s">
        <v>343</v>
      </c>
      <c r="J118" s="484" t="s">
        <v>67</v>
      </c>
      <c r="K118" s="485" t="s">
        <v>59</v>
      </c>
      <c r="L118" s="69" t="s">
        <v>42</v>
      </c>
      <c r="M118" s="69" t="s">
        <v>40</v>
      </c>
      <c r="N118" s="118">
        <f>57387.479+479.547</f>
        <v>57867.025999999998</v>
      </c>
      <c r="O118" s="118">
        <f>57387.479+479.547</f>
        <v>57867.025999999998</v>
      </c>
      <c r="P118" s="118">
        <v>64776.947</v>
      </c>
      <c r="Q118" s="118">
        <v>39416.6</v>
      </c>
      <c r="R118" s="118">
        <v>39539.5</v>
      </c>
    </row>
    <row r="119" spans="1:18" s="107" customFormat="1" ht="48">
      <c r="A119" s="566"/>
      <c r="B119" s="565"/>
      <c r="C119" s="484" t="s">
        <v>345</v>
      </c>
      <c r="D119" s="484" t="s">
        <v>342</v>
      </c>
      <c r="E119" s="484" t="s">
        <v>222</v>
      </c>
      <c r="F119" s="540"/>
      <c r="G119" s="540"/>
      <c r="H119" s="540"/>
      <c r="I119" s="484" t="s">
        <v>90</v>
      </c>
      <c r="J119" s="484" t="s">
        <v>67</v>
      </c>
      <c r="K119" s="485" t="s">
        <v>326</v>
      </c>
      <c r="L119" s="511"/>
      <c r="M119" s="511"/>
      <c r="N119" s="101"/>
      <c r="O119" s="101"/>
      <c r="P119" s="101"/>
      <c r="Q119" s="101"/>
      <c r="R119" s="101"/>
    </row>
    <row r="120" spans="1:18" s="107" customFormat="1" ht="132" customHeight="1">
      <c r="A120" s="51" t="s">
        <v>777</v>
      </c>
      <c r="B120" s="482" t="s">
        <v>327</v>
      </c>
      <c r="C120" s="439"/>
      <c r="D120" s="439"/>
      <c r="E120" s="439"/>
      <c r="F120" s="484" t="s">
        <v>936</v>
      </c>
      <c r="G120" s="484" t="s">
        <v>937</v>
      </c>
      <c r="H120" s="484" t="s">
        <v>983</v>
      </c>
      <c r="I120" s="484" t="s">
        <v>1438</v>
      </c>
      <c r="J120" s="484" t="s">
        <v>67</v>
      </c>
      <c r="K120" s="485" t="s">
        <v>1423</v>
      </c>
      <c r="L120" s="202" t="s">
        <v>42</v>
      </c>
      <c r="M120" s="203" t="s">
        <v>40</v>
      </c>
      <c r="N120" s="85">
        <v>2430.9</v>
      </c>
      <c r="O120" s="85">
        <v>2315.0189999999998</v>
      </c>
      <c r="P120" s="85">
        <v>2473.9</v>
      </c>
      <c r="Q120" s="378">
        <v>2473.9</v>
      </c>
      <c r="R120" s="85">
        <v>2473.9</v>
      </c>
    </row>
    <row r="121" spans="1:18" s="107" customFormat="1" ht="102" customHeight="1">
      <c r="A121" s="566" t="s">
        <v>778</v>
      </c>
      <c r="B121" s="482" t="s">
        <v>328</v>
      </c>
      <c r="C121" s="565"/>
      <c r="D121" s="565"/>
      <c r="E121" s="565"/>
      <c r="F121" s="540"/>
      <c r="G121" s="612"/>
      <c r="H121" s="540"/>
      <c r="I121" s="540" t="s">
        <v>1484</v>
      </c>
      <c r="J121" s="540" t="s">
        <v>67</v>
      </c>
      <c r="K121" s="612" t="s">
        <v>1044</v>
      </c>
      <c r="L121" s="69" t="s">
        <v>42</v>
      </c>
      <c r="M121" s="145" t="s">
        <v>40</v>
      </c>
      <c r="N121" s="118">
        <v>17081.7</v>
      </c>
      <c r="O121" s="118">
        <v>17081.7</v>
      </c>
      <c r="P121" s="118">
        <v>16937.599999999999</v>
      </c>
      <c r="Q121" s="118">
        <v>0</v>
      </c>
      <c r="R121" s="118">
        <v>0</v>
      </c>
    </row>
    <row r="122" spans="1:18" s="107" customFormat="1" ht="103.5" customHeight="1">
      <c r="A122" s="566"/>
      <c r="B122" s="482"/>
      <c r="C122" s="565"/>
      <c r="D122" s="565"/>
      <c r="E122" s="565"/>
      <c r="F122" s="540"/>
      <c r="G122" s="612"/>
      <c r="H122" s="540"/>
      <c r="I122" s="540"/>
      <c r="J122" s="540"/>
      <c r="K122" s="612"/>
      <c r="L122" s="202"/>
      <c r="M122" s="203"/>
      <c r="N122" s="85"/>
      <c r="O122" s="85"/>
      <c r="P122" s="85"/>
      <c r="Q122" s="378"/>
      <c r="R122" s="85"/>
    </row>
    <row r="123" spans="1:18" s="107" customFormat="1" ht="85.5" customHeight="1">
      <c r="A123" s="51" t="s">
        <v>887</v>
      </c>
      <c r="B123" s="482"/>
      <c r="C123" s="484" t="s">
        <v>346</v>
      </c>
      <c r="D123" s="484" t="s">
        <v>313</v>
      </c>
      <c r="E123" s="484" t="s">
        <v>59</v>
      </c>
      <c r="F123" s="484" t="s">
        <v>344</v>
      </c>
      <c r="G123" s="484" t="s">
        <v>314</v>
      </c>
      <c r="H123" s="484" t="s">
        <v>222</v>
      </c>
      <c r="I123" s="484" t="s">
        <v>1354</v>
      </c>
      <c r="J123" s="484" t="s">
        <v>130</v>
      </c>
      <c r="K123" s="484" t="s">
        <v>131</v>
      </c>
      <c r="L123" s="204" t="s">
        <v>42</v>
      </c>
      <c r="M123" s="146" t="s">
        <v>40</v>
      </c>
      <c r="N123" s="118">
        <v>475</v>
      </c>
      <c r="O123" s="118">
        <v>475</v>
      </c>
      <c r="P123" s="118">
        <v>283.7</v>
      </c>
      <c r="Q123" s="118">
        <v>0</v>
      </c>
      <c r="R123" s="118">
        <v>0</v>
      </c>
    </row>
    <row r="124" spans="1:18" s="107" customFormat="1" ht="107.25" customHeight="1">
      <c r="A124" s="51" t="s">
        <v>888</v>
      </c>
      <c r="B124" s="482"/>
      <c r="C124" s="484" t="s">
        <v>346</v>
      </c>
      <c r="D124" s="484" t="s">
        <v>313</v>
      </c>
      <c r="E124" s="484" t="s">
        <v>59</v>
      </c>
      <c r="F124" s="484" t="s">
        <v>344</v>
      </c>
      <c r="G124" s="484" t="s">
        <v>314</v>
      </c>
      <c r="H124" s="484" t="s">
        <v>222</v>
      </c>
      <c r="I124" s="484" t="s">
        <v>1356</v>
      </c>
      <c r="J124" s="484" t="s">
        <v>67</v>
      </c>
      <c r="K124" s="484" t="s">
        <v>486</v>
      </c>
      <c r="L124" s="481" t="s">
        <v>42</v>
      </c>
      <c r="M124" s="481" t="s">
        <v>40</v>
      </c>
      <c r="N124" s="83">
        <f>400+2963.878+99.001</f>
        <v>3462.8790000000004</v>
      </c>
      <c r="O124" s="83">
        <f>400+2963.878+99.001</f>
        <v>3462.8790000000004</v>
      </c>
      <c r="P124" s="83">
        <f>3398.3+119.992</f>
        <v>3518.2920000000004</v>
      </c>
      <c r="Q124" s="83">
        <v>3428.3</v>
      </c>
      <c r="R124" s="83">
        <v>3428.3</v>
      </c>
    </row>
    <row r="125" spans="1:18" s="107" customFormat="1" ht="60" customHeight="1">
      <c r="A125" s="51"/>
      <c r="B125" s="482"/>
      <c r="C125" s="484"/>
      <c r="D125" s="484"/>
      <c r="E125" s="484"/>
      <c r="F125" s="484"/>
      <c r="G125" s="484"/>
      <c r="H125" s="484"/>
      <c r="I125" s="484" t="s">
        <v>828</v>
      </c>
      <c r="J125" s="484" t="s">
        <v>67</v>
      </c>
      <c r="K125" s="485" t="s">
        <v>429</v>
      </c>
      <c r="L125" s="482"/>
      <c r="M125" s="482"/>
      <c r="N125" s="84"/>
      <c r="O125" s="84"/>
      <c r="P125" s="84"/>
      <c r="Q125" s="84"/>
      <c r="R125" s="84"/>
    </row>
    <row r="126" spans="1:18" s="107" customFormat="1" ht="84" customHeight="1">
      <c r="A126" s="51"/>
      <c r="B126" s="482"/>
      <c r="C126" s="484"/>
      <c r="D126" s="484"/>
      <c r="E126" s="484"/>
      <c r="F126" s="484"/>
      <c r="G126" s="484"/>
      <c r="H126" s="484"/>
      <c r="I126" s="484" t="s">
        <v>765</v>
      </c>
      <c r="J126" s="484" t="s">
        <v>67</v>
      </c>
      <c r="K126" s="485" t="s">
        <v>300</v>
      </c>
      <c r="L126" s="482"/>
      <c r="M126" s="482"/>
      <c r="N126" s="84"/>
      <c r="O126" s="84"/>
      <c r="P126" s="84"/>
      <c r="Q126" s="84"/>
      <c r="R126" s="84"/>
    </row>
    <row r="127" spans="1:18" s="107" customFormat="1" ht="73.5" customHeight="1">
      <c r="A127" s="51" t="s">
        <v>1235</v>
      </c>
      <c r="B127" s="482" t="s">
        <v>909</v>
      </c>
      <c r="C127" s="484"/>
      <c r="D127" s="484"/>
      <c r="E127" s="484"/>
      <c r="F127" s="484"/>
      <c r="G127" s="485"/>
      <c r="H127" s="484"/>
      <c r="I127" s="540" t="s">
        <v>1422</v>
      </c>
      <c r="J127" s="565" t="s">
        <v>67</v>
      </c>
      <c r="K127" s="439" t="s">
        <v>1423</v>
      </c>
      <c r="L127" s="482" t="s">
        <v>42</v>
      </c>
      <c r="M127" s="144" t="s">
        <v>40</v>
      </c>
      <c r="N127" s="84">
        <v>384.53899999999999</v>
      </c>
      <c r="O127" s="84">
        <v>384.53899999999999</v>
      </c>
      <c r="P127" s="84">
        <v>958.68200000000002</v>
      </c>
      <c r="Q127" s="84">
        <v>0</v>
      </c>
      <c r="R127" s="84">
        <v>0</v>
      </c>
    </row>
    <row r="128" spans="1:18" s="107" customFormat="1" ht="82.5" customHeight="1">
      <c r="A128" s="51" t="s">
        <v>1236</v>
      </c>
      <c r="B128" s="482" t="s">
        <v>911</v>
      </c>
      <c r="C128" s="484"/>
      <c r="D128" s="484"/>
      <c r="E128" s="484"/>
      <c r="F128" s="484"/>
      <c r="G128" s="485"/>
      <c r="H128" s="484"/>
      <c r="I128" s="540"/>
      <c r="J128" s="565"/>
      <c r="K128" s="439"/>
      <c r="L128" s="482" t="s">
        <v>42</v>
      </c>
      <c r="M128" s="144" t="s">
        <v>40</v>
      </c>
      <c r="N128" s="84">
        <v>11.893000000000001</v>
      </c>
      <c r="O128" s="84">
        <v>11.893000000000001</v>
      </c>
      <c r="P128" s="84">
        <v>29.65</v>
      </c>
      <c r="Q128" s="84">
        <v>0</v>
      </c>
      <c r="R128" s="84">
        <v>0</v>
      </c>
    </row>
    <row r="129" spans="1:18" s="107" customFormat="1" ht="168.75" customHeight="1">
      <c r="A129" s="436" t="s">
        <v>1237</v>
      </c>
      <c r="B129" s="482" t="s">
        <v>1099</v>
      </c>
      <c r="C129" s="484"/>
      <c r="D129" s="484"/>
      <c r="E129" s="484"/>
      <c r="F129" s="484"/>
      <c r="G129" s="485"/>
      <c r="H129" s="484"/>
      <c r="I129" s="439" t="s">
        <v>1137</v>
      </c>
      <c r="J129" s="439" t="s">
        <v>67</v>
      </c>
      <c r="K129" s="439" t="s">
        <v>1138</v>
      </c>
      <c r="L129" s="482" t="s">
        <v>42</v>
      </c>
      <c r="M129" s="144" t="s">
        <v>40</v>
      </c>
      <c r="N129" s="84">
        <v>650.45399999999995</v>
      </c>
      <c r="O129" s="84">
        <v>650.45399999999995</v>
      </c>
      <c r="P129" s="84">
        <v>0</v>
      </c>
      <c r="Q129" s="84">
        <v>0</v>
      </c>
      <c r="R129" s="84">
        <v>0</v>
      </c>
    </row>
    <row r="130" spans="1:18" s="107" customFormat="1" ht="26.25" customHeight="1">
      <c r="A130" s="51" t="s">
        <v>1238</v>
      </c>
      <c r="B130" s="482"/>
      <c r="C130" s="439"/>
      <c r="D130" s="439"/>
      <c r="E130" s="439"/>
      <c r="F130" s="484"/>
      <c r="G130" s="439"/>
      <c r="H130" s="439"/>
      <c r="I130" s="439"/>
      <c r="J130" s="439"/>
      <c r="K130" s="439"/>
      <c r="L130" s="95"/>
      <c r="M130" s="95"/>
      <c r="N130" s="104"/>
      <c r="O130" s="104"/>
      <c r="P130" s="104"/>
      <c r="Q130" s="104"/>
      <c r="R130" s="104"/>
    </row>
    <row r="131" spans="1:18" s="107" customFormat="1" ht="60">
      <c r="A131" s="51"/>
      <c r="B131" s="482" t="s">
        <v>470</v>
      </c>
      <c r="C131" s="439"/>
      <c r="D131" s="439"/>
      <c r="E131" s="439"/>
      <c r="F131" s="484"/>
      <c r="G131" s="439"/>
      <c r="H131" s="439"/>
      <c r="I131" s="430" t="s">
        <v>1050</v>
      </c>
      <c r="J131" s="336" t="s">
        <v>67</v>
      </c>
      <c r="K131" s="389" t="s">
        <v>1051</v>
      </c>
      <c r="L131" s="95" t="s">
        <v>42</v>
      </c>
      <c r="M131" s="95" t="s">
        <v>40</v>
      </c>
      <c r="N131" s="104">
        <v>200</v>
      </c>
      <c r="O131" s="104">
        <v>200</v>
      </c>
      <c r="P131" s="104">
        <v>0</v>
      </c>
      <c r="Q131" s="104">
        <v>0</v>
      </c>
      <c r="R131" s="104">
        <v>0</v>
      </c>
    </row>
    <row r="132" spans="1:18" s="107" customFormat="1" ht="71.25" customHeight="1">
      <c r="A132" s="195" t="s">
        <v>582</v>
      </c>
      <c r="B132" s="165" t="s">
        <v>549</v>
      </c>
      <c r="C132" s="196"/>
      <c r="D132" s="196"/>
      <c r="E132" s="196"/>
      <c r="F132" s="196"/>
      <c r="G132" s="196"/>
      <c r="H132" s="197"/>
      <c r="I132" s="196"/>
      <c r="J132" s="196"/>
      <c r="K132" s="197"/>
      <c r="L132" s="68"/>
      <c r="M132" s="68"/>
      <c r="N132" s="241">
        <f>SUM(N133:N134)</f>
        <v>0</v>
      </c>
      <c r="O132" s="241">
        <f>SUM(O133:O134)</f>
        <v>0</v>
      </c>
      <c r="P132" s="241">
        <f t="shared" ref="P132:R132" si="16">SUM(P133:P134)</f>
        <v>7614.6</v>
      </c>
      <c r="Q132" s="241">
        <f t="shared" si="16"/>
        <v>7614.6</v>
      </c>
      <c r="R132" s="241">
        <f t="shared" si="16"/>
        <v>7614.6</v>
      </c>
    </row>
    <row r="133" spans="1:18" s="107" customFormat="1" ht="46.5" customHeight="1">
      <c r="A133" s="51"/>
      <c r="B133" s="439"/>
      <c r="C133" s="255" t="s">
        <v>346</v>
      </c>
      <c r="D133" s="297" t="s">
        <v>313</v>
      </c>
      <c r="E133" s="255" t="s">
        <v>59</v>
      </c>
      <c r="F133" s="632" t="s">
        <v>938</v>
      </c>
      <c r="G133" s="540" t="s">
        <v>939</v>
      </c>
      <c r="H133" s="540" t="s">
        <v>983</v>
      </c>
      <c r="I133" s="484" t="s">
        <v>854</v>
      </c>
      <c r="J133" s="484" t="s">
        <v>855</v>
      </c>
      <c r="K133" s="485" t="s">
        <v>856</v>
      </c>
      <c r="L133" s="481" t="s">
        <v>42</v>
      </c>
      <c r="M133" s="512" t="s">
        <v>42</v>
      </c>
      <c r="N133" s="118">
        <v>0</v>
      </c>
      <c r="O133" s="118">
        <v>0</v>
      </c>
      <c r="P133" s="118">
        <v>2919.4</v>
      </c>
      <c r="Q133" s="118">
        <v>2919.4</v>
      </c>
      <c r="R133" s="118">
        <v>2919.4</v>
      </c>
    </row>
    <row r="134" spans="1:18" s="107" customFormat="1" ht="58.5" customHeight="1">
      <c r="A134" s="51"/>
      <c r="B134" s="482" t="s">
        <v>323</v>
      </c>
      <c r="C134" s="439"/>
      <c r="D134" s="439"/>
      <c r="E134" s="439"/>
      <c r="F134" s="632"/>
      <c r="G134" s="540"/>
      <c r="H134" s="540"/>
      <c r="I134" s="484" t="s">
        <v>523</v>
      </c>
      <c r="J134" s="484" t="s">
        <v>67</v>
      </c>
      <c r="K134" s="485" t="s">
        <v>322</v>
      </c>
      <c r="L134" s="482"/>
      <c r="M134" s="144"/>
      <c r="N134" s="118">
        <v>0</v>
      </c>
      <c r="O134" s="118">
        <v>0</v>
      </c>
      <c r="P134" s="118">
        <v>4695.2</v>
      </c>
      <c r="Q134" s="118">
        <v>4695.2</v>
      </c>
      <c r="R134" s="118">
        <v>4695.2</v>
      </c>
    </row>
    <row r="135" spans="1:18" s="107" customFormat="1" ht="86.25" customHeight="1">
      <c r="A135" s="553" t="s">
        <v>583</v>
      </c>
      <c r="B135" s="595" t="s">
        <v>43</v>
      </c>
      <c r="C135" s="255" t="s">
        <v>346</v>
      </c>
      <c r="D135" s="256" t="s">
        <v>313</v>
      </c>
      <c r="E135" s="129" t="s">
        <v>59</v>
      </c>
      <c r="F135" s="129"/>
      <c r="G135" s="129"/>
      <c r="H135" s="175"/>
      <c r="I135" s="255" t="s">
        <v>765</v>
      </c>
      <c r="J135" s="171" t="s">
        <v>67</v>
      </c>
      <c r="K135" s="172" t="s">
        <v>300</v>
      </c>
      <c r="L135" s="475" t="s">
        <v>42</v>
      </c>
      <c r="M135" s="475" t="s">
        <v>37</v>
      </c>
      <c r="N135" s="307">
        <v>264.89100000000002</v>
      </c>
      <c r="O135" s="307">
        <v>264.89100000000002</v>
      </c>
      <c r="P135" s="307">
        <v>319.39999999999998</v>
      </c>
      <c r="Q135" s="307">
        <v>319.39999999999998</v>
      </c>
      <c r="R135" s="307">
        <v>319.39999999999998</v>
      </c>
    </row>
    <row r="136" spans="1:18" s="107" customFormat="1" ht="177.75" customHeight="1">
      <c r="A136" s="555"/>
      <c r="B136" s="596"/>
      <c r="C136" s="332"/>
      <c r="D136" s="332"/>
      <c r="E136" s="332"/>
      <c r="F136" s="332"/>
      <c r="G136" s="332"/>
      <c r="H136" s="179"/>
      <c r="I136" s="332"/>
      <c r="J136" s="332"/>
      <c r="K136" s="179"/>
      <c r="L136" s="476" t="s">
        <v>42</v>
      </c>
      <c r="M136" s="476" t="s">
        <v>40</v>
      </c>
      <c r="N136" s="241">
        <v>506.6</v>
      </c>
      <c r="O136" s="241">
        <v>506.6</v>
      </c>
      <c r="P136" s="241">
        <v>526.20000000000005</v>
      </c>
      <c r="Q136" s="241">
        <v>526.20000000000005</v>
      </c>
      <c r="R136" s="241">
        <v>526.20000000000005</v>
      </c>
    </row>
    <row r="137" spans="1:18" s="108" customFormat="1" ht="108.75" hidden="1" customHeight="1">
      <c r="A137" s="553" t="s">
        <v>584</v>
      </c>
      <c r="B137" s="450">
        <v>1025</v>
      </c>
      <c r="C137" s="448" t="s">
        <v>55</v>
      </c>
      <c r="D137" s="448" t="s">
        <v>347</v>
      </c>
      <c r="E137" s="448" t="s">
        <v>56</v>
      </c>
      <c r="F137" s="575" t="s">
        <v>102</v>
      </c>
      <c r="G137" s="472" t="s">
        <v>69</v>
      </c>
      <c r="H137" s="472" t="s">
        <v>103</v>
      </c>
      <c r="I137" s="129" t="s">
        <v>104</v>
      </c>
      <c r="J137" s="129" t="s">
        <v>67</v>
      </c>
      <c r="K137" s="175" t="s">
        <v>105</v>
      </c>
      <c r="L137" s="475" t="s">
        <v>37</v>
      </c>
      <c r="M137" s="475" t="s">
        <v>35</v>
      </c>
      <c r="N137" s="34">
        <v>0</v>
      </c>
      <c r="O137" s="34"/>
      <c r="P137" s="34"/>
      <c r="Q137" s="74"/>
      <c r="R137" s="168">
        <v>0</v>
      </c>
    </row>
    <row r="138" spans="1:18" s="108" customFormat="1" ht="97.5" hidden="1" customHeight="1">
      <c r="A138" s="555"/>
      <c r="B138" s="451"/>
      <c r="C138" s="474"/>
      <c r="D138" s="474"/>
      <c r="E138" s="474"/>
      <c r="F138" s="588"/>
      <c r="G138" s="473"/>
      <c r="H138" s="473"/>
      <c r="I138" s="332" t="s">
        <v>106</v>
      </c>
      <c r="J138" s="332" t="s">
        <v>67</v>
      </c>
      <c r="K138" s="179" t="s">
        <v>107</v>
      </c>
      <c r="L138" s="477"/>
      <c r="M138" s="477"/>
      <c r="N138" s="52"/>
      <c r="O138" s="52"/>
      <c r="P138" s="52"/>
      <c r="Q138" s="47"/>
      <c r="R138" s="87"/>
    </row>
    <row r="139" spans="1:18" s="108" customFormat="1" ht="13.5" customHeight="1">
      <c r="A139" s="553" t="s">
        <v>585</v>
      </c>
      <c r="B139" s="477">
        <v>1026</v>
      </c>
      <c r="C139" s="444"/>
      <c r="D139" s="444"/>
      <c r="E139" s="444"/>
      <c r="F139" s="510"/>
      <c r="G139" s="510"/>
      <c r="H139" s="510"/>
      <c r="I139" s="453"/>
      <c r="J139" s="453"/>
      <c r="K139" s="282"/>
      <c r="L139" s="494"/>
      <c r="M139" s="494"/>
      <c r="N139" s="92">
        <f>SUM(N140:N147)</f>
        <v>6895.0429999999997</v>
      </c>
      <c r="O139" s="92">
        <f>SUM(O140:O147)</f>
        <v>3110.143</v>
      </c>
      <c r="P139" s="92">
        <f>SUM(P140:P147)</f>
        <v>1625.24</v>
      </c>
      <c r="Q139" s="92">
        <f t="shared" ref="Q139:R139" si="17">SUM(Q140:Q147)</f>
        <v>1602.2</v>
      </c>
      <c r="R139" s="92">
        <f t="shared" si="17"/>
        <v>1602.2</v>
      </c>
    </row>
    <row r="140" spans="1:18" s="108" customFormat="1" ht="71.25" customHeight="1">
      <c r="A140" s="554"/>
      <c r="B140" s="557"/>
      <c r="C140" s="534" t="s">
        <v>55</v>
      </c>
      <c r="D140" s="534" t="s">
        <v>101</v>
      </c>
      <c r="E140" s="534" t="s">
        <v>56</v>
      </c>
      <c r="F140" s="534" t="s">
        <v>30</v>
      </c>
      <c r="G140" s="534" t="s">
        <v>30</v>
      </c>
      <c r="H140" s="534" t="s">
        <v>30</v>
      </c>
      <c r="I140" s="432" t="s">
        <v>97</v>
      </c>
      <c r="J140" s="432" t="s">
        <v>98</v>
      </c>
      <c r="K140" s="432" t="s">
        <v>99</v>
      </c>
      <c r="L140" s="432" t="s">
        <v>34</v>
      </c>
      <c r="M140" s="432" t="s">
        <v>40</v>
      </c>
      <c r="N140" s="18">
        <v>3110.143</v>
      </c>
      <c r="O140" s="18">
        <v>3110.143</v>
      </c>
      <c r="P140" s="18">
        <v>1625.24</v>
      </c>
      <c r="Q140" s="374">
        <v>1602.2</v>
      </c>
      <c r="R140" s="159">
        <v>1602.2</v>
      </c>
    </row>
    <row r="141" spans="1:18" s="108" customFormat="1" ht="38.25" customHeight="1">
      <c r="A141" s="554"/>
      <c r="B141" s="597"/>
      <c r="C141" s="531"/>
      <c r="D141" s="531"/>
      <c r="E141" s="531"/>
      <c r="F141" s="531"/>
      <c r="G141" s="531"/>
      <c r="H141" s="531"/>
      <c r="I141" s="430" t="s">
        <v>498</v>
      </c>
      <c r="J141" s="430" t="s">
        <v>67</v>
      </c>
      <c r="K141" s="430" t="s">
        <v>499</v>
      </c>
      <c r="L141" s="430"/>
      <c r="M141" s="430"/>
      <c r="N141" s="53"/>
      <c r="O141" s="53"/>
      <c r="P141" s="53"/>
      <c r="Q141" s="379"/>
      <c r="R141" s="161"/>
    </row>
    <row r="142" spans="1:18" s="108" customFormat="1" ht="84">
      <c r="A142" s="445"/>
      <c r="B142" s="477"/>
      <c r="C142" s="430"/>
      <c r="D142" s="430"/>
      <c r="E142" s="430"/>
      <c r="F142" s="430"/>
      <c r="G142" s="430"/>
      <c r="H142" s="430"/>
      <c r="I142" s="430" t="s">
        <v>1124</v>
      </c>
      <c r="J142" s="430" t="s">
        <v>67</v>
      </c>
      <c r="K142" s="430" t="s">
        <v>1125</v>
      </c>
      <c r="L142" s="430"/>
      <c r="M142" s="430"/>
      <c r="N142" s="53"/>
      <c r="O142" s="53"/>
      <c r="P142" s="53"/>
      <c r="Q142" s="379"/>
      <c r="R142" s="161"/>
    </row>
    <row r="143" spans="1:18" s="107" customFormat="1" ht="25.5" hidden="1" customHeight="1">
      <c r="A143" s="435"/>
      <c r="B143" s="509" t="s">
        <v>905</v>
      </c>
      <c r="C143" s="430"/>
      <c r="D143" s="430"/>
      <c r="E143" s="430"/>
      <c r="F143" s="430"/>
      <c r="G143" s="430"/>
      <c r="H143" s="430"/>
      <c r="I143" s="531"/>
      <c r="J143" s="531"/>
      <c r="K143" s="531"/>
      <c r="L143" s="430"/>
      <c r="M143" s="430"/>
      <c r="N143" s="50">
        <v>0</v>
      </c>
      <c r="O143" s="50">
        <v>0</v>
      </c>
      <c r="P143" s="50">
        <v>0</v>
      </c>
      <c r="Q143" s="375">
        <v>0</v>
      </c>
      <c r="R143" s="160">
        <v>0</v>
      </c>
    </row>
    <row r="144" spans="1:18" s="107" customFormat="1" ht="25.5" hidden="1" customHeight="1">
      <c r="A144" s="435"/>
      <c r="B144" s="509" t="s">
        <v>906</v>
      </c>
      <c r="C144" s="430"/>
      <c r="D144" s="430"/>
      <c r="E144" s="430"/>
      <c r="F144" s="430"/>
      <c r="G144" s="430"/>
      <c r="H144" s="430"/>
      <c r="I144" s="531"/>
      <c r="J144" s="531"/>
      <c r="K144" s="531"/>
      <c r="L144" s="430"/>
      <c r="M144" s="430"/>
      <c r="N144" s="50">
        <v>0</v>
      </c>
      <c r="O144" s="50">
        <v>0</v>
      </c>
      <c r="P144" s="50">
        <v>0</v>
      </c>
      <c r="Q144" s="375">
        <v>0</v>
      </c>
      <c r="R144" s="160">
        <v>0</v>
      </c>
    </row>
    <row r="145" spans="1:18" s="107" customFormat="1" ht="108" hidden="1" customHeight="1">
      <c r="A145" s="435"/>
      <c r="B145" s="509" t="s">
        <v>904</v>
      </c>
      <c r="C145" s="430"/>
      <c r="D145" s="430"/>
      <c r="E145" s="430"/>
      <c r="F145" s="430" t="s">
        <v>997</v>
      </c>
      <c r="G145" s="430" t="s">
        <v>998</v>
      </c>
      <c r="H145" s="430" t="s">
        <v>983</v>
      </c>
      <c r="I145" s="439" t="s">
        <v>1198</v>
      </c>
      <c r="J145" s="439" t="s">
        <v>67</v>
      </c>
      <c r="K145" s="439" t="s">
        <v>1069</v>
      </c>
      <c r="L145" s="430"/>
      <c r="M145" s="430"/>
      <c r="N145" s="50">
        <v>0</v>
      </c>
      <c r="O145" s="50">
        <v>0</v>
      </c>
      <c r="P145" s="50">
        <v>0</v>
      </c>
      <c r="Q145" s="375">
        <v>0</v>
      </c>
      <c r="R145" s="160">
        <v>0</v>
      </c>
    </row>
    <row r="146" spans="1:18" s="107" customFormat="1" ht="61.5" customHeight="1">
      <c r="A146" s="435"/>
      <c r="B146" s="509" t="s">
        <v>1018</v>
      </c>
      <c r="C146" s="430"/>
      <c r="D146" s="430"/>
      <c r="E146" s="430"/>
      <c r="F146" s="430"/>
      <c r="G146" s="430"/>
      <c r="H146" s="430"/>
      <c r="I146" s="531" t="s">
        <v>1122</v>
      </c>
      <c r="J146" s="430" t="s">
        <v>67</v>
      </c>
      <c r="K146" s="430" t="s">
        <v>1123</v>
      </c>
      <c r="L146" s="430"/>
      <c r="M146" s="430"/>
      <c r="N146" s="50">
        <v>3015.5</v>
      </c>
      <c r="O146" s="50">
        <v>0</v>
      </c>
      <c r="P146" s="50">
        <v>0</v>
      </c>
      <c r="Q146" s="375">
        <v>0</v>
      </c>
      <c r="R146" s="160">
        <v>0</v>
      </c>
    </row>
    <row r="147" spans="1:18" s="107" customFormat="1" ht="12.75" customHeight="1">
      <c r="A147" s="435"/>
      <c r="B147" s="509"/>
      <c r="C147" s="430"/>
      <c r="D147" s="430"/>
      <c r="E147" s="430"/>
      <c r="F147" s="430"/>
      <c r="G147" s="430"/>
      <c r="H147" s="430"/>
      <c r="I147" s="550"/>
      <c r="J147" s="430"/>
      <c r="K147" s="430"/>
      <c r="L147" s="430"/>
      <c r="M147" s="430"/>
      <c r="N147" s="50">
        <v>769.4</v>
      </c>
      <c r="O147" s="50">
        <v>0</v>
      </c>
      <c r="P147" s="50">
        <v>0</v>
      </c>
      <c r="Q147" s="375">
        <v>0</v>
      </c>
      <c r="R147" s="160">
        <v>0</v>
      </c>
    </row>
    <row r="148" spans="1:18" s="108" customFormat="1" ht="57" hidden="1" customHeight="1">
      <c r="A148" s="434" t="s">
        <v>804</v>
      </c>
      <c r="B148" s="450">
        <v>1027</v>
      </c>
      <c r="C148" s="432"/>
      <c r="D148" s="432"/>
      <c r="E148" s="432"/>
      <c r="F148" s="49"/>
      <c r="G148" s="49"/>
      <c r="H148" s="49"/>
      <c r="I148" s="432"/>
      <c r="J148" s="432"/>
      <c r="K148" s="432"/>
      <c r="L148" s="508" t="s">
        <v>36</v>
      </c>
      <c r="M148" s="146" t="s">
        <v>24</v>
      </c>
      <c r="N148" s="154">
        <v>0</v>
      </c>
      <c r="O148" s="154">
        <v>0</v>
      </c>
      <c r="P148" s="154">
        <v>0</v>
      </c>
      <c r="Q148" s="154">
        <v>0</v>
      </c>
      <c r="R148" s="154">
        <v>0</v>
      </c>
    </row>
    <row r="149" spans="1:18" s="108" customFormat="1" ht="36.75" customHeight="1">
      <c r="A149" s="34" t="s">
        <v>586</v>
      </c>
      <c r="B149" s="450">
        <v>1029</v>
      </c>
      <c r="C149" s="450"/>
      <c r="D149" s="450"/>
      <c r="E149" s="450"/>
      <c r="F149" s="34"/>
      <c r="G149" s="34"/>
      <c r="H149" s="34"/>
      <c r="I149" s="450"/>
      <c r="J149" s="450"/>
      <c r="K149" s="450"/>
      <c r="L149" s="450"/>
      <c r="M149" s="358"/>
      <c r="N149" s="154">
        <f>SUM(N151:N155)</f>
        <v>3975.3450000000003</v>
      </c>
      <c r="O149" s="154">
        <f>SUM(O151:O155)</f>
        <v>3968.27</v>
      </c>
      <c r="P149" s="154">
        <f t="shared" ref="P149:R149" si="18">SUM(P151:P155)</f>
        <v>3734.2</v>
      </c>
      <c r="Q149" s="154">
        <f t="shared" si="18"/>
        <v>2420.4</v>
      </c>
      <c r="R149" s="154">
        <f t="shared" si="18"/>
        <v>2428</v>
      </c>
    </row>
    <row r="150" spans="1:18" s="108" customFormat="1" ht="14.25" customHeight="1">
      <c r="A150" s="74" t="s">
        <v>96</v>
      </c>
      <c r="B150" s="467"/>
      <c r="C150" s="467"/>
      <c r="D150" s="467"/>
      <c r="E150" s="467"/>
      <c r="F150" s="65"/>
      <c r="G150" s="65"/>
      <c r="H150" s="65"/>
      <c r="I150" s="467"/>
      <c r="J150" s="467"/>
      <c r="K150" s="467"/>
      <c r="L150" s="75"/>
      <c r="M150" s="358"/>
      <c r="N150" s="154"/>
      <c r="O150" s="154"/>
      <c r="P150" s="154"/>
      <c r="Q150" s="154"/>
      <c r="R150" s="154"/>
    </row>
    <row r="151" spans="1:18" s="107" customFormat="1" ht="38.25" customHeight="1">
      <c r="A151" s="599"/>
      <c r="B151" s="430"/>
      <c r="C151" s="607" t="s">
        <v>55</v>
      </c>
      <c r="D151" s="532" t="s">
        <v>108</v>
      </c>
      <c r="E151" s="532" t="s">
        <v>56</v>
      </c>
      <c r="F151" s="446"/>
      <c r="G151" s="446"/>
      <c r="H151" s="446"/>
      <c r="I151" s="446" t="s">
        <v>109</v>
      </c>
      <c r="J151" s="446" t="s">
        <v>67</v>
      </c>
      <c r="K151" s="14" t="s">
        <v>59</v>
      </c>
      <c r="L151" s="432" t="s">
        <v>31</v>
      </c>
      <c r="M151" s="506" t="s">
        <v>25</v>
      </c>
      <c r="N151" s="59">
        <f>2487.793+6.452</f>
        <v>2494.2450000000003</v>
      </c>
      <c r="O151" s="59">
        <f>2481.214+5.956</f>
        <v>2487.17</v>
      </c>
      <c r="P151" s="59">
        <f>2222.5+30.5</f>
        <v>2253</v>
      </c>
      <c r="Q151" s="59">
        <f>2388.6+31.8</f>
        <v>2420.4</v>
      </c>
      <c r="R151" s="59">
        <f>2395+33</f>
        <v>2428</v>
      </c>
    </row>
    <row r="152" spans="1:18" s="107" customFormat="1" ht="84" customHeight="1">
      <c r="A152" s="552"/>
      <c r="B152" s="430"/>
      <c r="C152" s="586"/>
      <c r="D152" s="544"/>
      <c r="E152" s="544"/>
      <c r="F152" s="446"/>
      <c r="G152" s="446"/>
      <c r="H152" s="446"/>
      <c r="I152" s="446" t="s">
        <v>940</v>
      </c>
      <c r="J152" s="446" t="s">
        <v>67</v>
      </c>
      <c r="K152" s="14" t="s">
        <v>436</v>
      </c>
      <c r="L152" s="430"/>
      <c r="M152" s="507"/>
      <c r="N152" s="44"/>
      <c r="O152" s="44"/>
      <c r="P152" s="44"/>
      <c r="Q152" s="44"/>
      <c r="R152" s="44"/>
    </row>
    <row r="153" spans="1:18" s="107" customFormat="1" ht="47.25" customHeight="1">
      <c r="A153" s="435"/>
      <c r="B153" s="430"/>
      <c r="C153" s="444"/>
      <c r="D153" s="444"/>
      <c r="E153" s="444"/>
      <c r="F153" s="470"/>
      <c r="G153" s="446"/>
      <c r="H153" s="446"/>
      <c r="I153" s="446" t="s">
        <v>90</v>
      </c>
      <c r="J153" s="446" t="s">
        <v>67</v>
      </c>
      <c r="K153" s="14" t="s">
        <v>70</v>
      </c>
      <c r="L153" s="649" t="s">
        <v>39</v>
      </c>
      <c r="M153" s="647" t="s">
        <v>31</v>
      </c>
      <c r="N153" s="637">
        <v>968.1</v>
      </c>
      <c r="O153" s="637">
        <v>968.1</v>
      </c>
      <c r="P153" s="637">
        <v>968.2</v>
      </c>
      <c r="Q153" s="637">
        <v>0</v>
      </c>
      <c r="R153" s="637">
        <v>0</v>
      </c>
    </row>
    <row r="154" spans="1:18" s="107" customFormat="1" ht="83.25" customHeight="1">
      <c r="A154" s="42"/>
      <c r="B154" s="509" t="s">
        <v>132</v>
      </c>
      <c r="C154" s="76"/>
      <c r="D154" s="76"/>
      <c r="E154" s="76"/>
      <c r="F154" s="321" t="s">
        <v>941</v>
      </c>
      <c r="G154" s="430" t="s">
        <v>942</v>
      </c>
      <c r="H154" s="510" t="s">
        <v>983</v>
      </c>
      <c r="I154" s="444" t="s">
        <v>1037</v>
      </c>
      <c r="J154" s="444" t="s">
        <v>67</v>
      </c>
      <c r="K154" s="444" t="s">
        <v>916</v>
      </c>
      <c r="L154" s="650"/>
      <c r="M154" s="648"/>
      <c r="N154" s="638"/>
      <c r="O154" s="638"/>
      <c r="P154" s="638"/>
      <c r="Q154" s="638"/>
      <c r="R154" s="638"/>
    </row>
    <row r="155" spans="1:18" s="107" customFormat="1" ht="11.25" customHeight="1">
      <c r="A155" s="45"/>
      <c r="B155" s="68"/>
      <c r="C155" s="86"/>
      <c r="D155" s="86"/>
      <c r="E155" s="86"/>
      <c r="F155" s="473"/>
      <c r="G155" s="473"/>
      <c r="H155" s="473"/>
      <c r="I155" s="474"/>
      <c r="J155" s="474"/>
      <c r="K155" s="474"/>
      <c r="L155" s="505" t="s">
        <v>39</v>
      </c>
      <c r="M155" s="429" t="s">
        <v>31</v>
      </c>
      <c r="N155" s="310">
        <v>513</v>
      </c>
      <c r="O155" s="310">
        <v>513</v>
      </c>
      <c r="P155" s="310">
        <v>513</v>
      </c>
      <c r="Q155" s="393">
        <v>0</v>
      </c>
      <c r="R155" s="394">
        <v>0</v>
      </c>
    </row>
    <row r="156" spans="1:18" s="108" customFormat="1" ht="60">
      <c r="A156" s="34" t="s">
        <v>587</v>
      </c>
      <c r="B156" s="450">
        <v>1034</v>
      </c>
      <c r="C156" s="34" t="s">
        <v>30</v>
      </c>
      <c r="D156" s="34" t="s">
        <v>30</v>
      </c>
      <c r="E156" s="34" t="s">
        <v>30</v>
      </c>
      <c r="F156" s="34" t="s">
        <v>30</v>
      </c>
      <c r="G156" s="34" t="s">
        <v>30</v>
      </c>
      <c r="H156" s="34" t="s">
        <v>30</v>
      </c>
      <c r="I156" s="34" t="s">
        <v>30</v>
      </c>
      <c r="J156" s="34" t="s">
        <v>30</v>
      </c>
      <c r="K156" s="34" t="s">
        <v>30</v>
      </c>
      <c r="L156" s="450" t="s">
        <v>39</v>
      </c>
      <c r="M156" s="358" t="s">
        <v>31</v>
      </c>
      <c r="N156" s="153">
        <f>SUM(N157:N172)</f>
        <v>54638.281000000003</v>
      </c>
      <c r="O156" s="153">
        <f>SUM(O157:O172)</f>
        <v>54381.545499999993</v>
      </c>
      <c r="P156" s="153">
        <f>SUM(P157:P172)</f>
        <v>51956.680000000008</v>
      </c>
      <c r="Q156" s="153">
        <f t="shared" ref="Q156:R156" si="19">SUM(Q157:Q172)</f>
        <v>2410</v>
      </c>
      <c r="R156" s="153">
        <f t="shared" si="19"/>
        <v>2386.65</v>
      </c>
    </row>
    <row r="157" spans="1:18" s="107" customFormat="1" ht="110.25" customHeight="1">
      <c r="A157" s="49" t="s">
        <v>779</v>
      </c>
      <c r="B157" s="432"/>
      <c r="C157" s="432" t="s">
        <v>55</v>
      </c>
      <c r="D157" s="432" t="s">
        <v>110</v>
      </c>
      <c r="E157" s="432" t="s">
        <v>56</v>
      </c>
      <c r="F157" s="432" t="s">
        <v>786</v>
      </c>
      <c r="G157" s="432" t="s">
        <v>111</v>
      </c>
      <c r="H157" s="432" t="s">
        <v>112</v>
      </c>
      <c r="I157" s="129" t="s">
        <v>873</v>
      </c>
      <c r="J157" s="129" t="s">
        <v>67</v>
      </c>
      <c r="K157" s="175" t="s">
        <v>70</v>
      </c>
      <c r="L157" s="432" t="s">
        <v>39</v>
      </c>
      <c r="M157" s="506" t="s">
        <v>31</v>
      </c>
      <c r="N157" s="59">
        <f>18951.343+432.122/2+1490.491+446.287</f>
        <v>21104.182000000004</v>
      </c>
      <c r="O157" s="59">
        <f>18951.343+399.821/2+1490.491+446.287</f>
        <v>21088.031500000001</v>
      </c>
      <c r="P157" s="59">
        <f>14049.664+2831.332/2+4569/2+1224.004/2+388.5/2+413.934+5.966/2+79.381</f>
        <v>19052.380000000005</v>
      </c>
      <c r="Q157" s="59">
        <f>568.5/2+614.7/2</f>
        <v>591.6</v>
      </c>
      <c r="R157" s="59">
        <f>568.5/2+568/2</f>
        <v>568.25</v>
      </c>
    </row>
    <row r="158" spans="1:18" s="107" customFormat="1" ht="119.25" customHeight="1">
      <c r="A158" s="42"/>
      <c r="B158" s="430"/>
      <c r="C158" s="430" t="s">
        <v>443</v>
      </c>
      <c r="D158" s="430" t="s">
        <v>508</v>
      </c>
      <c r="E158" s="430" t="s">
        <v>444</v>
      </c>
      <c r="F158" s="430"/>
      <c r="G158" s="430"/>
      <c r="H158" s="430"/>
      <c r="I158" s="453" t="s">
        <v>944</v>
      </c>
      <c r="J158" s="453" t="s">
        <v>67</v>
      </c>
      <c r="K158" s="7" t="s">
        <v>429</v>
      </c>
      <c r="L158" s="430"/>
      <c r="M158" s="507"/>
      <c r="N158" s="44"/>
      <c r="O158" s="44"/>
      <c r="P158" s="44"/>
      <c r="Q158" s="44"/>
      <c r="R158" s="44"/>
    </row>
    <row r="159" spans="1:18" s="107" customFormat="1" ht="37.5" customHeight="1">
      <c r="A159" s="42"/>
      <c r="B159" s="430"/>
      <c r="C159" s="430"/>
      <c r="D159" s="430"/>
      <c r="E159" s="430"/>
      <c r="F159" s="430"/>
      <c r="G159" s="430"/>
      <c r="H159" s="430"/>
      <c r="I159" s="453" t="s">
        <v>473</v>
      </c>
      <c r="J159" s="453" t="s">
        <v>67</v>
      </c>
      <c r="K159" s="7" t="s">
        <v>474</v>
      </c>
      <c r="L159" s="430"/>
      <c r="M159" s="507"/>
      <c r="N159" s="44"/>
      <c r="O159" s="44"/>
      <c r="P159" s="44"/>
      <c r="Q159" s="44"/>
      <c r="R159" s="44"/>
    </row>
    <row r="160" spans="1:18" s="107" customFormat="1" ht="71.25" customHeight="1">
      <c r="A160" s="42"/>
      <c r="B160" s="430"/>
      <c r="C160" s="430"/>
      <c r="D160" s="430"/>
      <c r="E160" s="430"/>
      <c r="F160" s="430"/>
      <c r="G160" s="430"/>
      <c r="H160" s="430"/>
      <c r="I160" s="5" t="s">
        <v>430</v>
      </c>
      <c r="J160" s="453" t="s">
        <v>67</v>
      </c>
      <c r="K160" s="7" t="s">
        <v>431</v>
      </c>
      <c r="L160" s="430"/>
      <c r="M160" s="430"/>
      <c r="N160" s="50"/>
      <c r="O160" s="50"/>
      <c r="P160" s="50"/>
      <c r="Q160" s="375"/>
      <c r="R160" s="160"/>
    </row>
    <row r="161" spans="1:18" s="107" customFormat="1" ht="108.75" hidden="1" customHeight="1">
      <c r="A161" s="42"/>
      <c r="B161" s="430"/>
      <c r="C161" s="42"/>
      <c r="D161" s="42"/>
      <c r="E161" s="42"/>
      <c r="F161" s="42"/>
      <c r="G161" s="42"/>
      <c r="H161" s="42"/>
      <c r="I161" s="5" t="s">
        <v>113</v>
      </c>
      <c r="J161" s="5" t="s">
        <v>67</v>
      </c>
      <c r="K161" s="6" t="s">
        <v>114</v>
      </c>
      <c r="L161" s="430" t="s">
        <v>39</v>
      </c>
      <c r="M161" s="430" t="s">
        <v>31</v>
      </c>
      <c r="N161" s="50"/>
      <c r="O161" s="50"/>
      <c r="P161" s="50"/>
      <c r="Q161" s="375"/>
      <c r="R161" s="160"/>
    </row>
    <row r="162" spans="1:18" s="107" customFormat="1" ht="108">
      <c r="A162" s="42"/>
      <c r="B162" s="430"/>
      <c r="C162" s="42"/>
      <c r="D162" s="42"/>
      <c r="E162" s="42"/>
      <c r="F162" s="42"/>
      <c r="G162" s="42"/>
      <c r="H162" s="42"/>
      <c r="I162" s="5" t="s">
        <v>1370</v>
      </c>
      <c r="J162" s="453" t="s">
        <v>67</v>
      </c>
      <c r="K162" s="7" t="s">
        <v>1371</v>
      </c>
      <c r="L162" s="430"/>
      <c r="M162" s="430"/>
      <c r="N162" s="50"/>
      <c r="O162" s="50"/>
      <c r="P162" s="50"/>
      <c r="Q162" s="375"/>
      <c r="R162" s="160"/>
    </row>
    <row r="163" spans="1:18" s="107" customFormat="1" ht="48" customHeight="1">
      <c r="A163" s="45"/>
      <c r="B163" s="430"/>
      <c r="C163" s="42"/>
      <c r="D163" s="42"/>
      <c r="E163" s="42"/>
      <c r="F163" s="319"/>
      <c r="G163" s="42"/>
      <c r="H163" s="320"/>
      <c r="I163" s="453" t="s">
        <v>90</v>
      </c>
      <c r="J163" s="453" t="s">
        <v>67</v>
      </c>
      <c r="K163" s="7" t="s">
        <v>70</v>
      </c>
      <c r="L163" s="433"/>
      <c r="M163" s="513"/>
      <c r="N163" s="60"/>
      <c r="O163" s="60"/>
      <c r="P163" s="60"/>
      <c r="Q163" s="377"/>
      <c r="R163" s="60"/>
    </row>
    <row r="164" spans="1:18" s="107" customFormat="1" ht="181.5" customHeight="1">
      <c r="A164" s="49" t="s">
        <v>780</v>
      </c>
      <c r="B164" s="430">
        <v>684</v>
      </c>
      <c r="C164" s="42"/>
      <c r="D164" s="42"/>
      <c r="E164" s="42"/>
      <c r="F164" s="321" t="s">
        <v>941</v>
      </c>
      <c r="G164" s="430" t="s">
        <v>942</v>
      </c>
      <c r="H164" s="510" t="s">
        <v>983</v>
      </c>
      <c r="I164" s="444" t="s">
        <v>1487</v>
      </c>
      <c r="J164" s="444" t="s">
        <v>67</v>
      </c>
      <c r="K164" s="444" t="s">
        <v>1488</v>
      </c>
      <c r="L164" s="432" t="s">
        <v>39</v>
      </c>
      <c r="M164" s="506" t="s">
        <v>31</v>
      </c>
      <c r="N164" s="59">
        <v>31459.5</v>
      </c>
      <c r="O164" s="59">
        <v>31459.5</v>
      </c>
      <c r="P164" s="59">
        <v>31009.9</v>
      </c>
      <c r="Q164" s="59">
        <v>0</v>
      </c>
      <c r="R164" s="59">
        <v>0</v>
      </c>
    </row>
    <row r="165" spans="1:18" s="107" customFormat="1" ht="71.25" customHeight="1">
      <c r="A165" s="49" t="s">
        <v>781</v>
      </c>
      <c r="B165" s="430">
        <v>566</v>
      </c>
      <c r="C165" s="42"/>
      <c r="D165" s="42"/>
      <c r="E165" s="42"/>
      <c r="F165" s="321" t="s">
        <v>941</v>
      </c>
      <c r="G165" s="430" t="s">
        <v>943</v>
      </c>
      <c r="H165" s="510" t="s">
        <v>983</v>
      </c>
      <c r="I165" s="510" t="s">
        <v>1405</v>
      </c>
      <c r="J165" s="510" t="s">
        <v>67</v>
      </c>
      <c r="K165" s="510" t="s">
        <v>1406</v>
      </c>
      <c r="L165" s="432" t="s">
        <v>39</v>
      </c>
      <c r="M165" s="506" t="s">
        <v>31</v>
      </c>
      <c r="N165" s="59">
        <v>1753.8</v>
      </c>
      <c r="O165" s="59">
        <v>1513.2149999999999</v>
      </c>
      <c r="P165" s="59">
        <v>1818.4</v>
      </c>
      <c r="Q165" s="59">
        <v>1818.4</v>
      </c>
      <c r="R165" s="59">
        <v>1818.4</v>
      </c>
    </row>
    <row r="166" spans="1:18" s="107" customFormat="1" ht="60.75" hidden="1" customHeight="1">
      <c r="A166" s="372" t="s">
        <v>889</v>
      </c>
      <c r="B166" s="70" t="s">
        <v>834</v>
      </c>
      <c r="C166" s="42"/>
      <c r="D166" s="42"/>
      <c r="E166" s="42"/>
      <c r="F166" s="321" t="s">
        <v>941</v>
      </c>
      <c r="G166" s="430" t="s">
        <v>932</v>
      </c>
      <c r="H166" s="510" t="s">
        <v>983</v>
      </c>
      <c r="I166" s="459" t="s">
        <v>839</v>
      </c>
      <c r="J166" s="510" t="s">
        <v>67</v>
      </c>
      <c r="K166" s="510" t="s">
        <v>840</v>
      </c>
      <c r="L166" s="508" t="s">
        <v>39</v>
      </c>
      <c r="M166" s="146" t="s">
        <v>31</v>
      </c>
      <c r="N166" s="59">
        <v>0</v>
      </c>
      <c r="O166" s="59">
        <v>0</v>
      </c>
      <c r="P166" s="59">
        <v>0</v>
      </c>
      <c r="Q166" s="59">
        <v>0</v>
      </c>
      <c r="R166" s="59">
        <v>0</v>
      </c>
    </row>
    <row r="167" spans="1:18" s="107" customFormat="1" ht="60.75" hidden="1" customHeight="1">
      <c r="A167" s="372" t="s">
        <v>890</v>
      </c>
      <c r="B167" s="482" t="s">
        <v>876</v>
      </c>
      <c r="C167" s="51"/>
      <c r="D167" s="51"/>
      <c r="E167" s="51"/>
      <c r="F167" s="496"/>
      <c r="G167" s="496"/>
      <c r="H167" s="496"/>
      <c r="I167" s="496" t="s">
        <v>879</v>
      </c>
      <c r="J167" s="496" t="s">
        <v>67</v>
      </c>
      <c r="K167" s="496" t="s">
        <v>880</v>
      </c>
      <c r="L167" s="302" t="s">
        <v>39</v>
      </c>
      <c r="M167" s="302" t="s">
        <v>31</v>
      </c>
      <c r="N167" s="59">
        <v>0</v>
      </c>
      <c r="O167" s="59">
        <v>0</v>
      </c>
      <c r="P167" s="59">
        <v>0</v>
      </c>
      <c r="Q167" s="59">
        <v>0</v>
      </c>
      <c r="R167" s="59">
        <v>0</v>
      </c>
    </row>
    <row r="168" spans="1:18" s="107" customFormat="1" ht="48" hidden="1" customHeight="1">
      <c r="A168" s="566" t="s">
        <v>1288</v>
      </c>
      <c r="B168" s="482" t="s">
        <v>537</v>
      </c>
      <c r="C168" s="51"/>
      <c r="D168" s="51"/>
      <c r="E168" s="51"/>
      <c r="F168" s="633" t="s">
        <v>502</v>
      </c>
      <c r="G168" s="439" t="s">
        <v>787</v>
      </c>
      <c r="H168" s="439" t="s">
        <v>503</v>
      </c>
      <c r="I168" s="176" t="s">
        <v>809</v>
      </c>
      <c r="J168" s="484" t="s">
        <v>67</v>
      </c>
      <c r="K168" s="485" t="s">
        <v>810</v>
      </c>
      <c r="L168" s="69" t="s">
        <v>39</v>
      </c>
      <c r="M168" s="69" t="s">
        <v>31</v>
      </c>
      <c r="N168" s="59">
        <v>0</v>
      </c>
      <c r="O168" s="59">
        <v>0</v>
      </c>
      <c r="P168" s="59">
        <v>0</v>
      </c>
      <c r="Q168" s="59">
        <v>0</v>
      </c>
      <c r="R168" s="59">
        <v>0</v>
      </c>
    </row>
    <row r="169" spans="1:18" s="107" customFormat="1" ht="48" hidden="1" customHeight="1">
      <c r="A169" s="566"/>
      <c r="B169" s="482" t="s">
        <v>818</v>
      </c>
      <c r="C169" s="51"/>
      <c r="D169" s="51"/>
      <c r="E169" s="51"/>
      <c r="F169" s="633"/>
      <c r="G169" s="439"/>
      <c r="H169" s="439"/>
      <c r="I169" s="176" t="s">
        <v>831</v>
      </c>
      <c r="J169" s="484" t="s">
        <v>67</v>
      </c>
      <c r="K169" s="485" t="s">
        <v>832</v>
      </c>
      <c r="L169" s="69" t="s">
        <v>39</v>
      </c>
      <c r="M169" s="69" t="s">
        <v>31</v>
      </c>
      <c r="N169" s="59">
        <v>0</v>
      </c>
      <c r="O169" s="59">
        <v>0</v>
      </c>
      <c r="P169" s="59">
        <v>0</v>
      </c>
      <c r="Q169" s="59">
        <v>0</v>
      </c>
      <c r="R169" s="59">
        <v>0</v>
      </c>
    </row>
    <row r="170" spans="1:18" s="107" customFormat="1" ht="60" hidden="1">
      <c r="A170" s="566"/>
      <c r="B170" s="482" t="s">
        <v>538</v>
      </c>
      <c r="C170" s="51"/>
      <c r="D170" s="51"/>
      <c r="E170" s="51"/>
      <c r="F170" s="633"/>
      <c r="G170" s="439"/>
      <c r="H170" s="439"/>
      <c r="I170" s="176" t="s">
        <v>829</v>
      </c>
      <c r="J170" s="484" t="s">
        <v>67</v>
      </c>
      <c r="K170" s="485" t="s">
        <v>830</v>
      </c>
      <c r="L170" s="69" t="s">
        <v>39</v>
      </c>
      <c r="M170" s="69" t="s">
        <v>31</v>
      </c>
      <c r="N170" s="59">
        <v>0</v>
      </c>
      <c r="O170" s="59">
        <v>0</v>
      </c>
      <c r="P170" s="59">
        <v>0</v>
      </c>
      <c r="Q170" s="59">
        <v>0</v>
      </c>
      <c r="R170" s="59">
        <v>0</v>
      </c>
    </row>
    <row r="171" spans="1:18" s="107" customFormat="1" ht="61.5" customHeight="1">
      <c r="A171" s="566"/>
      <c r="B171" s="482" t="s">
        <v>465</v>
      </c>
      <c r="C171" s="51"/>
      <c r="D171" s="51"/>
      <c r="E171" s="51"/>
      <c r="F171" s="633"/>
      <c r="G171" s="439"/>
      <c r="H171" s="439"/>
      <c r="I171" s="176" t="s">
        <v>1502</v>
      </c>
      <c r="J171" s="484" t="s">
        <v>67</v>
      </c>
      <c r="K171" s="485" t="s">
        <v>1503</v>
      </c>
      <c r="L171" s="528" t="s">
        <v>39</v>
      </c>
      <c r="M171" s="528" t="s">
        <v>31</v>
      </c>
      <c r="N171" s="525">
        <v>231</v>
      </c>
      <c r="O171" s="525">
        <v>231</v>
      </c>
      <c r="P171" s="525">
        <v>76</v>
      </c>
      <c r="Q171" s="525">
        <v>0</v>
      </c>
      <c r="R171" s="525">
        <v>0</v>
      </c>
    </row>
    <row r="172" spans="1:18" s="107" customFormat="1" ht="61.5" customHeight="1">
      <c r="A172" s="363"/>
      <c r="B172" s="364" t="s">
        <v>1182</v>
      </c>
      <c r="C172" s="365"/>
      <c r="D172" s="365"/>
      <c r="E172" s="365"/>
      <c r="F172" s="366"/>
      <c r="G172" s="367"/>
      <c r="H172" s="367"/>
      <c r="I172" s="368" t="s">
        <v>1196</v>
      </c>
      <c r="J172" s="368" t="s">
        <v>67</v>
      </c>
      <c r="K172" s="369" t="s">
        <v>1197</v>
      </c>
      <c r="L172" s="364" t="s">
        <v>39</v>
      </c>
      <c r="M172" s="364" t="s">
        <v>31</v>
      </c>
      <c r="N172" s="370">
        <v>89.799000000000007</v>
      </c>
      <c r="O172" s="370">
        <v>89.799000000000007</v>
      </c>
      <c r="P172" s="370">
        <v>0</v>
      </c>
      <c r="Q172" s="380">
        <v>0</v>
      </c>
      <c r="R172" s="370">
        <v>0</v>
      </c>
    </row>
    <row r="173" spans="1:18" s="108" customFormat="1" ht="94.5" hidden="1" customHeight="1">
      <c r="A173" s="554" t="s">
        <v>588</v>
      </c>
      <c r="B173" s="477">
        <v>1035</v>
      </c>
      <c r="C173" s="531" t="s">
        <v>55</v>
      </c>
      <c r="D173" s="531" t="s">
        <v>348</v>
      </c>
      <c r="E173" s="531" t="s">
        <v>56</v>
      </c>
      <c r="F173" s="597" t="s">
        <v>30</v>
      </c>
      <c r="G173" s="634" t="s">
        <v>30</v>
      </c>
      <c r="H173" s="627" t="s">
        <v>30</v>
      </c>
      <c r="I173" s="440" t="s">
        <v>349</v>
      </c>
      <c r="J173" s="440" t="s">
        <v>198</v>
      </c>
      <c r="K173" s="360" t="s">
        <v>325</v>
      </c>
      <c r="L173" s="477" t="s">
        <v>39</v>
      </c>
      <c r="M173" s="477" t="s">
        <v>31</v>
      </c>
      <c r="N173" s="53">
        <f>SUM(N174:N175)</f>
        <v>0</v>
      </c>
      <c r="O173" s="53"/>
      <c r="P173" s="53">
        <f>SUM(P174:P175)</f>
        <v>0</v>
      </c>
      <c r="Q173" s="53"/>
      <c r="R173" s="53">
        <f>SUM(R174:R175)</f>
        <v>0</v>
      </c>
    </row>
    <row r="174" spans="1:18" s="108" customFormat="1" ht="62.25" hidden="1" customHeight="1">
      <c r="A174" s="554"/>
      <c r="B174" s="430" t="s">
        <v>689</v>
      </c>
      <c r="C174" s="531"/>
      <c r="D174" s="531"/>
      <c r="E174" s="531"/>
      <c r="F174" s="597"/>
      <c r="G174" s="634"/>
      <c r="H174" s="627"/>
      <c r="I174" s="257" t="s">
        <v>547</v>
      </c>
      <c r="J174" s="257" t="s">
        <v>67</v>
      </c>
      <c r="K174" s="258" t="s">
        <v>548</v>
      </c>
      <c r="L174" s="597"/>
      <c r="M174" s="597"/>
      <c r="N174" s="50">
        <v>0</v>
      </c>
      <c r="O174" s="50"/>
      <c r="P174" s="50">
        <v>0</v>
      </c>
      <c r="Q174" s="50"/>
      <c r="R174" s="50">
        <v>0</v>
      </c>
    </row>
    <row r="175" spans="1:18" s="108" customFormat="1" ht="84" hidden="1">
      <c r="A175" s="554"/>
      <c r="B175" s="451"/>
      <c r="C175" s="531"/>
      <c r="D175" s="531"/>
      <c r="E175" s="531"/>
      <c r="F175" s="597"/>
      <c r="G175" s="634"/>
      <c r="H175" s="627"/>
      <c r="I175" s="5" t="s">
        <v>788</v>
      </c>
      <c r="J175" s="5" t="s">
        <v>67</v>
      </c>
      <c r="K175" s="6" t="s">
        <v>411</v>
      </c>
      <c r="L175" s="597"/>
      <c r="M175" s="597"/>
      <c r="N175" s="50">
        <v>0</v>
      </c>
      <c r="O175" s="50"/>
      <c r="P175" s="50">
        <v>0</v>
      </c>
      <c r="Q175" s="50"/>
      <c r="R175" s="50">
        <v>0</v>
      </c>
    </row>
    <row r="176" spans="1:18" s="108" customFormat="1" ht="13.5" customHeight="1">
      <c r="A176" s="553" t="s">
        <v>842</v>
      </c>
      <c r="B176" s="37">
        <v>1036</v>
      </c>
      <c r="C176" s="487"/>
      <c r="D176" s="487"/>
      <c r="E176" s="487"/>
      <c r="F176" s="37"/>
      <c r="G176" s="37"/>
      <c r="H176" s="37"/>
      <c r="I176" s="295"/>
      <c r="J176" s="295"/>
      <c r="K176" s="296"/>
      <c r="L176" s="37"/>
      <c r="M176" s="37"/>
      <c r="N176" s="206">
        <f>SUM(N177:N178)</f>
        <v>641.71</v>
      </c>
      <c r="O176" s="206">
        <f>SUM(O177:O178)</f>
        <v>641.71</v>
      </c>
      <c r="P176" s="206">
        <f t="shared" ref="P176:R176" si="20">SUM(P177:P178)</f>
        <v>0</v>
      </c>
      <c r="Q176" s="206">
        <f t="shared" si="20"/>
        <v>0</v>
      </c>
      <c r="R176" s="206">
        <f t="shared" si="20"/>
        <v>0</v>
      </c>
    </row>
    <row r="177" spans="1:18" s="108" customFormat="1" ht="48" customHeight="1">
      <c r="A177" s="554"/>
      <c r="B177" s="432" t="s">
        <v>847</v>
      </c>
      <c r="C177" s="432"/>
      <c r="D177" s="432"/>
      <c r="E177" s="432"/>
      <c r="F177" s="432"/>
      <c r="G177" s="432"/>
      <c r="H177" s="432"/>
      <c r="I177" s="663" t="s">
        <v>868</v>
      </c>
      <c r="J177" s="534" t="s">
        <v>73</v>
      </c>
      <c r="K177" s="534" t="s">
        <v>869</v>
      </c>
      <c r="L177" s="198" t="s">
        <v>39</v>
      </c>
      <c r="M177" s="198" t="s">
        <v>31</v>
      </c>
      <c r="N177" s="207">
        <v>0</v>
      </c>
      <c r="O177" s="207">
        <v>0</v>
      </c>
      <c r="P177" s="207">
        <v>0</v>
      </c>
      <c r="Q177" s="207">
        <v>0</v>
      </c>
      <c r="R177" s="207">
        <v>0</v>
      </c>
    </row>
    <row r="178" spans="1:18" s="108" customFormat="1" ht="98.25" customHeight="1">
      <c r="A178" s="555"/>
      <c r="B178" s="433" t="s">
        <v>848</v>
      </c>
      <c r="C178" s="433"/>
      <c r="D178" s="433"/>
      <c r="E178" s="433"/>
      <c r="F178" s="433"/>
      <c r="G178" s="433"/>
      <c r="H178" s="433"/>
      <c r="I178" s="664"/>
      <c r="J178" s="535"/>
      <c r="K178" s="535"/>
      <c r="L178" s="198" t="s">
        <v>39</v>
      </c>
      <c r="M178" s="198" t="s">
        <v>31</v>
      </c>
      <c r="N178" s="207">
        <v>641.71</v>
      </c>
      <c r="O178" s="207">
        <v>641.71</v>
      </c>
      <c r="P178" s="207">
        <v>0</v>
      </c>
      <c r="Q178" s="207">
        <v>0</v>
      </c>
      <c r="R178" s="207">
        <v>0</v>
      </c>
    </row>
    <row r="179" spans="1:18" s="108" customFormat="1" ht="36" customHeight="1">
      <c r="A179" s="434" t="s">
        <v>589</v>
      </c>
      <c r="B179" s="450">
        <v>1040</v>
      </c>
      <c r="C179" s="432"/>
      <c r="D179" s="432"/>
      <c r="E179" s="432"/>
      <c r="F179" s="450"/>
      <c r="G179" s="450"/>
      <c r="H179" s="450"/>
      <c r="I179" s="514"/>
      <c r="J179" s="514"/>
      <c r="K179" s="208"/>
      <c r="L179" s="450"/>
      <c r="M179" s="450"/>
      <c r="N179" s="35">
        <f>SUM(N180)</f>
        <v>767.78300000000002</v>
      </c>
      <c r="O179" s="35">
        <f>SUM(O180)</f>
        <v>767.78300000000002</v>
      </c>
      <c r="P179" s="35">
        <f t="shared" ref="P179:R179" si="21">SUM(P180)</f>
        <v>150</v>
      </c>
      <c r="Q179" s="35">
        <f t="shared" si="21"/>
        <v>0</v>
      </c>
      <c r="R179" s="35">
        <f t="shared" si="21"/>
        <v>0</v>
      </c>
    </row>
    <row r="180" spans="1:18" s="107" customFormat="1" ht="84.75" customHeight="1">
      <c r="A180" s="94" t="s">
        <v>741</v>
      </c>
      <c r="B180" s="468"/>
      <c r="C180" s="468" t="s">
        <v>742</v>
      </c>
      <c r="D180" s="468" t="s">
        <v>92</v>
      </c>
      <c r="E180" s="468" t="s">
        <v>93</v>
      </c>
      <c r="F180" s="468"/>
      <c r="G180" s="94"/>
      <c r="H180" s="94"/>
      <c r="I180" s="458" t="s">
        <v>743</v>
      </c>
      <c r="J180" s="458" t="s">
        <v>744</v>
      </c>
      <c r="K180" s="173" t="s">
        <v>89</v>
      </c>
      <c r="L180" s="468" t="s">
        <v>36</v>
      </c>
      <c r="M180" s="468" t="s">
        <v>32</v>
      </c>
      <c r="N180" s="99">
        <v>767.78300000000002</v>
      </c>
      <c r="O180" s="99">
        <v>767.78300000000002</v>
      </c>
      <c r="P180" s="99">
        <v>150</v>
      </c>
      <c r="Q180" s="99">
        <v>0</v>
      </c>
      <c r="R180" s="99">
        <v>0</v>
      </c>
    </row>
    <row r="181" spans="1:18" s="108" customFormat="1" ht="36">
      <c r="A181" s="52" t="s">
        <v>590</v>
      </c>
      <c r="B181" s="477">
        <v>1041</v>
      </c>
      <c r="C181" s="52"/>
      <c r="D181" s="52"/>
      <c r="E181" s="52"/>
      <c r="F181" s="52"/>
      <c r="G181" s="52"/>
      <c r="H181" s="52"/>
      <c r="I181" s="52"/>
      <c r="J181" s="52"/>
      <c r="K181" s="52"/>
      <c r="L181" s="477"/>
      <c r="M181" s="497"/>
      <c r="N181" s="209">
        <f>SUM(N182:N186)</f>
        <v>379.42</v>
      </c>
      <c r="O181" s="209">
        <f>SUM(O182:O186)</f>
        <v>371.75700000000001</v>
      </c>
      <c r="P181" s="209">
        <f t="shared" ref="P181:R181" si="22">SUM(P182:P186)</f>
        <v>355</v>
      </c>
      <c r="Q181" s="209">
        <f t="shared" si="22"/>
        <v>355</v>
      </c>
      <c r="R181" s="209">
        <f t="shared" si="22"/>
        <v>355</v>
      </c>
    </row>
    <row r="182" spans="1:18" s="107" customFormat="1" ht="96" customHeight="1">
      <c r="A182" s="49" t="s">
        <v>745</v>
      </c>
      <c r="B182" s="432"/>
      <c r="C182" s="448" t="s">
        <v>55</v>
      </c>
      <c r="D182" s="448" t="s">
        <v>116</v>
      </c>
      <c r="E182" s="448" t="s">
        <v>56</v>
      </c>
      <c r="F182" s="49" t="s">
        <v>30</v>
      </c>
      <c r="G182" s="49" t="s">
        <v>30</v>
      </c>
      <c r="H182" s="49" t="s">
        <v>30</v>
      </c>
      <c r="I182" s="129" t="s">
        <v>1140</v>
      </c>
      <c r="J182" s="129" t="s">
        <v>67</v>
      </c>
      <c r="K182" s="129" t="s">
        <v>117</v>
      </c>
      <c r="L182" s="653" t="s">
        <v>36</v>
      </c>
      <c r="M182" s="651" t="s">
        <v>34</v>
      </c>
      <c r="N182" s="156">
        <v>379.42</v>
      </c>
      <c r="O182" s="156">
        <v>371.75700000000001</v>
      </c>
      <c r="P182" s="156">
        <v>355</v>
      </c>
      <c r="Q182" s="156">
        <v>355</v>
      </c>
      <c r="R182" s="156">
        <v>355</v>
      </c>
    </row>
    <row r="183" spans="1:18" s="107" customFormat="1" ht="120" customHeight="1">
      <c r="A183" s="42"/>
      <c r="B183" s="430"/>
      <c r="C183" s="465"/>
      <c r="D183" s="465"/>
      <c r="E183" s="465"/>
      <c r="F183" s="42"/>
      <c r="G183" s="42"/>
      <c r="H183" s="42"/>
      <c r="I183" s="453" t="s">
        <v>1360</v>
      </c>
      <c r="J183" s="453" t="s">
        <v>67</v>
      </c>
      <c r="K183" s="453" t="s">
        <v>414</v>
      </c>
      <c r="L183" s="654"/>
      <c r="M183" s="652"/>
      <c r="N183" s="157"/>
      <c r="O183" s="157"/>
      <c r="P183" s="157"/>
      <c r="Q183" s="157"/>
      <c r="R183" s="157"/>
    </row>
    <row r="184" spans="1:18" s="107" customFormat="1" ht="71.25" customHeight="1">
      <c r="A184" s="42"/>
      <c r="B184" s="430"/>
      <c r="C184" s="465"/>
      <c r="D184" s="465"/>
      <c r="E184" s="465"/>
      <c r="F184" s="42"/>
      <c r="G184" s="42"/>
      <c r="H184" s="42"/>
      <c r="I184" s="453" t="s">
        <v>945</v>
      </c>
      <c r="J184" s="453" t="s">
        <v>67</v>
      </c>
      <c r="K184" s="453" t="s">
        <v>520</v>
      </c>
      <c r="L184" s="70"/>
      <c r="M184" s="507"/>
      <c r="N184" s="157"/>
      <c r="O184" s="157"/>
      <c r="P184" s="157"/>
      <c r="Q184" s="157"/>
      <c r="R184" s="157"/>
    </row>
    <row r="185" spans="1:18" s="107" customFormat="1" ht="60">
      <c r="A185" s="42"/>
      <c r="B185" s="430"/>
      <c r="C185" s="465"/>
      <c r="D185" s="465"/>
      <c r="E185" s="465"/>
      <c r="F185" s="531" t="s">
        <v>1171</v>
      </c>
      <c r="G185" s="430" t="s">
        <v>67</v>
      </c>
      <c r="H185" s="430" t="s">
        <v>520</v>
      </c>
      <c r="I185" s="444" t="s">
        <v>403</v>
      </c>
      <c r="J185" s="444" t="s">
        <v>67</v>
      </c>
      <c r="K185" s="444" t="s">
        <v>68</v>
      </c>
      <c r="L185" s="70"/>
      <c r="M185" s="430"/>
      <c r="N185" s="290"/>
      <c r="O185" s="290"/>
      <c r="P185" s="290"/>
      <c r="Q185" s="290"/>
      <c r="R185" s="290"/>
    </row>
    <row r="186" spans="1:18" s="107" customFormat="1" ht="95.25" customHeight="1">
      <c r="A186" s="42"/>
      <c r="B186" s="509"/>
      <c r="C186" s="465"/>
      <c r="D186" s="465"/>
      <c r="E186" s="465"/>
      <c r="F186" s="535"/>
      <c r="G186" s="42"/>
      <c r="H186" s="42"/>
      <c r="I186" s="444" t="s">
        <v>1185</v>
      </c>
      <c r="J186" s="444" t="s">
        <v>67</v>
      </c>
      <c r="K186" s="444"/>
      <c r="L186" s="70"/>
      <c r="M186" s="430"/>
      <c r="N186" s="290"/>
      <c r="O186" s="290"/>
      <c r="P186" s="290"/>
      <c r="Q186" s="290"/>
      <c r="R186" s="290"/>
    </row>
    <row r="187" spans="1:18" s="107" customFormat="1" ht="23.25" customHeight="1">
      <c r="A187" s="36" t="s">
        <v>592</v>
      </c>
      <c r="B187" s="165" t="s">
        <v>591</v>
      </c>
      <c r="C187" s="23"/>
      <c r="D187" s="23"/>
      <c r="E187" s="23"/>
      <c r="F187" s="23"/>
      <c r="G187" s="23"/>
      <c r="H187" s="210"/>
      <c r="I187" s="196"/>
      <c r="J187" s="196"/>
      <c r="K187" s="196"/>
      <c r="L187" s="487"/>
      <c r="M187" s="487"/>
      <c r="N187" s="211">
        <f>SUM(N188:N195)</f>
        <v>1800</v>
      </c>
      <c r="O187" s="211">
        <f>SUM(O188:O195)</f>
        <v>1800</v>
      </c>
      <c r="P187" s="211">
        <f t="shared" ref="P187:R187" si="23">SUM(P188:P195)</f>
        <v>550</v>
      </c>
      <c r="Q187" s="211">
        <f t="shared" si="23"/>
        <v>300</v>
      </c>
      <c r="R187" s="211">
        <f t="shared" si="23"/>
        <v>300</v>
      </c>
    </row>
    <row r="188" spans="1:18" s="107" customFormat="1" ht="85.5" customHeight="1">
      <c r="A188" s="42"/>
      <c r="B188" s="430"/>
      <c r="C188" s="448" t="s">
        <v>55</v>
      </c>
      <c r="D188" s="448" t="s">
        <v>116</v>
      </c>
      <c r="E188" s="448" t="s">
        <v>56</v>
      </c>
      <c r="F188" s="545" t="s">
        <v>946</v>
      </c>
      <c r="G188" s="444" t="s">
        <v>947</v>
      </c>
      <c r="H188" s="444" t="s">
        <v>983</v>
      </c>
      <c r="I188" s="444" t="s">
        <v>1142</v>
      </c>
      <c r="J188" s="444" t="s">
        <v>67</v>
      </c>
      <c r="K188" s="444" t="s">
        <v>1143</v>
      </c>
      <c r="L188" s="70" t="s">
        <v>36</v>
      </c>
      <c r="M188" s="507">
        <v>12</v>
      </c>
      <c r="N188" s="157">
        <f>7.5+100+292.5+25</f>
        <v>425</v>
      </c>
      <c r="O188" s="157">
        <f>7.5+100+292.5+25</f>
        <v>425</v>
      </c>
      <c r="P188" s="157">
        <v>550</v>
      </c>
      <c r="Q188" s="157">
        <v>300</v>
      </c>
      <c r="R188" s="157">
        <v>300</v>
      </c>
    </row>
    <row r="189" spans="1:18" s="107" customFormat="1" ht="70.5" customHeight="1">
      <c r="A189" s="42"/>
      <c r="B189" s="430"/>
      <c r="C189" s="556"/>
      <c r="D189" s="556"/>
      <c r="E189" s="556"/>
      <c r="F189" s="542"/>
      <c r="G189" s="170"/>
      <c r="H189" s="170"/>
      <c r="I189" s="444" t="s">
        <v>1361</v>
      </c>
      <c r="J189" s="444" t="s">
        <v>67</v>
      </c>
      <c r="K189" s="444" t="s">
        <v>747</v>
      </c>
      <c r="L189" s="54"/>
      <c r="M189" s="507"/>
      <c r="N189" s="157"/>
      <c r="O189" s="157"/>
      <c r="P189" s="157"/>
      <c r="Q189" s="157"/>
      <c r="R189" s="157"/>
    </row>
    <row r="190" spans="1:18" s="107" customFormat="1" ht="96">
      <c r="A190" s="42"/>
      <c r="B190" s="430"/>
      <c r="C190" s="556"/>
      <c r="D190" s="556"/>
      <c r="E190" s="556"/>
      <c r="F190" s="170"/>
      <c r="G190" s="170"/>
      <c r="H190" s="170"/>
      <c r="I190" s="465" t="s">
        <v>1439</v>
      </c>
      <c r="J190" s="444" t="s">
        <v>67</v>
      </c>
      <c r="K190" s="444" t="s">
        <v>521</v>
      </c>
      <c r="L190" s="54"/>
      <c r="M190" s="507"/>
      <c r="N190" s="157"/>
      <c r="O190" s="157"/>
      <c r="P190" s="157"/>
      <c r="Q190" s="157"/>
      <c r="R190" s="157"/>
    </row>
    <row r="191" spans="1:18" s="107" customFormat="1" ht="72">
      <c r="A191" s="42"/>
      <c r="B191" s="430"/>
      <c r="C191" s="556"/>
      <c r="D191" s="556"/>
      <c r="E191" s="556"/>
      <c r="F191" s="170"/>
      <c r="G191" s="170"/>
      <c r="H191" s="170"/>
      <c r="I191" s="444" t="s">
        <v>118</v>
      </c>
      <c r="J191" s="444" t="s">
        <v>67</v>
      </c>
      <c r="K191" s="444" t="s">
        <v>119</v>
      </c>
      <c r="L191" s="54"/>
      <c r="M191" s="507"/>
      <c r="N191" s="157"/>
      <c r="O191" s="157"/>
      <c r="P191" s="157"/>
      <c r="Q191" s="157"/>
      <c r="R191" s="157"/>
    </row>
    <row r="192" spans="1:18" s="107" customFormat="1" ht="60">
      <c r="A192" s="42"/>
      <c r="B192" s="430"/>
      <c r="C192" s="465"/>
      <c r="D192" s="465"/>
      <c r="E192" s="465"/>
      <c r="F192" s="170"/>
      <c r="G192" s="170"/>
      <c r="H192" s="170"/>
      <c r="I192" s="444" t="s">
        <v>1362</v>
      </c>
      <c r="J192" s="444" t="s">
        <v>67</v>
      </c>
      <c r="K192" s="444" t="s">
        <v>746</v>
      </c>
      <c r="L192" s="54"/>
      <c r="M192" s="507"/>
      <c r="N192" s="157"/>
      <c r="O192" s="157"/>
      <c r="P192" s="157"/>
      <c r="Q192" s="157"/>
      <c r="R192" s="157"/>
    </row>
    <row r="193" spans="1:18" s="107" customFormat="1" ht="48">
      <c r="A193" s="42"/>
      <c r="B193" s="430"/>
      <c r="C193" s="465"/>
      <c r="D193" s="465"/>
      <c r="E193" s="465"/>
      <c r="F193" s="170"/>
      <c r="G193" s="170"/>
      <c r="H193" s="170"/>
      <c r="I193" s="444" t="s">
        <v>90</v>
      </c>
      <c r="J193" s="444" t="s">
        <v>67</v>
      </c>
      <c r="K193" s="444" t="s">
        <v>70</v>
      </c>
      <c r="L193" s="54"/>
      <c r="M193" s="507"/>
      <c r="N193" s="157"/>
      <c r="O193" s="157"/>
      <c r="P193" s="157"/>
      <c r="Q193" s="157"/>
      <c r="R193" s="157"/>
    </row>
    <row r="194" spans="1:18" s="107" customFormat="1" ht="96">
      <c r="A194" s="42"/>
      <c r="B194" s="509" t="s">
        <v>559</v>
      </c>
      <c r="C194" s="465"/>
      <c r="D194" s="465"/>
      <c r="E194" s="465"/>
      <c r="F194" s="465"/>
      <c r="G194" s="465"/>
      <c r="H194" s="465"/>
      <c r="I194" s="444" t="s">
        <v>1063</v>
      </c>
      <c r="J194" s="444" t="s">
        <v>67</v>
      </c>
      <c r="K194" s="444" t="s">
        <v>1065</v>
      </c>
      <c r="L194" s="430"/>
      <c r="M194" s="507"/>
      <c r="N194" s="157">
        <v>900</v>
      </c>
      <c r="O194" s="157">
        <v>900</v>
      </c>
      <c r="P194" s="157">
        <v>0</v>
      </c>
      <c r="Q194" s="157">
        <v>0</v>
      </c>
      <c r="R194" s="157">
        <v>0</v>
      </c>
    </row>
    <row r="195" spans="1:18" s="107" customFormat="1" ht="72">
      <c r="A195" s="42"/>
      <c r="B195" s="509" t="s">
        <v>1072</v>
      </c>
      <c r="C195" s="465"/>
      <c r="D195" s="465"/>
      <c r="E195" s="465"/>
      <c r="F195" s="465"/>
      <c r="G195" s="465"/>
      <c r="H195" s="465"/>
      <c r="I195" s="444" t="s">
        <v>1144</v>
      </c>
      <c r="J195" s="444" t="s">
        <v>67</v>
      </c>
      <c r="K195" s="444" t="s">
        <v>1145</v>
      </c>
      <c r="L195" s="430"/>
      <c r="M195" s="433"/>
      <c r="N195" s="346">
        <v>475</v>
      </c>
      <c r="O195" s="346">
        <v>475</v>
      </c>
      <c r="P195" s="346">
        <v>0</v>
      </c>
      <c r="Q195" s="381">
        <v>0</v>
      </c>
      <c r="R195" s="347">
        <v>0</v>
      </c>
    </row>
    <row r="196" spans="1:18" s="108" customFormat="1" ht="72">
      <c r="A196" s="34" t="s">
        <v>594</v>
      </c>
      <c r="B196" s="475" t="s">
        <v>593</v>
      </c>
      <c r="C196" s="448" t="s">
        <v>183</v>
      </c>
      <c r="D196" s="448" t="s">
        <v>184</v>
      </c>
      <c r="E196" s="448" t="s">
        <v>185</v>
      </c>
      <c r="F196" s="448"/>
      <c r="G196" s="448"/>
      <c r="H196" s="448"/>
      <c r="I196" s="263" t="s">
        <v>186</v>
      </c>
      <c r="J196" s="129" t="s">
        <v>67</v>
      </c>
      <c r="K196" s="129" t="s">
        <v>187</v>
      </c>
      <c r="L196" s="450" t="s">
        <v>31</v>
      </c>
      <c r="M196" s="450" t="s">
        <v>25</v>
      </c>
      <c r="N196" s="35">
        <v>2155.5</v>
      </c>
      <c r="O196" s="35">
        <v>2120.4760000000001</v>
      </c>
      <c r="P196" s="35">
        <v>1878.8</v>
      </c>
      <c r="Q196" s="35">
        <v>2080.4</v>
      </c>
      <c r="R196" s="35">
        <v>2080.4</v>
      </c>
    </row>
    <row r="197" spans="1:18" s="108" customFormat="1" ht="60">
      <c r="A197" s="445"/>
      <c r="B197" s="509" t="s">
        <v>465</v>
      </c>
      <c r="C197" s="444"/>
      <c r="D197" s="444"/>
      <c r="E197" s="444"/>
      <c r="F197" s="444"/>
      <c r="G197" s="444"/>
      <c r="H197" s="444"/>
      <c r="I197" s="259" t="s">
        <v>1068</v>
      </c>
      <c r="J197" s="453" t="s">
        <v>67</v>
      </c>
      <c r="K197" s="453" t="s">
        <v>1067</v>
      </c>
      <c r="L197" s="477"/>
      <c r="M197" s="477"/>
      <c r="N197" s="53">
        <v>600</v>
      </c>
      <c r="O197" s="53">
        <v>600</v>
      </c>
      <c r="P197" s="53">
        <v>0</v>
      </c>
      <c r="Q197" s="53">
        <v>0</v>
      </c>
      <c r="R197" s="53">
        <v>0</v>
      </c>
    </row>
    <row r="198" spans="1:18" s="108" customFormat="1" ht="84">
      <c r="A198" s="449"/>
      <c r="B198" s="68"/>
      <c r="C198" s="474"/>
      <c r="D198" s="474"/>
      <c r="E198" s="474"/>
      <c r="F198" s="474"/>
      <c r="G198" s="474"/>
      <c r="H198" s="474"/>
      <c r="I198" s="341" t="s">
        <v>1078</v>
      </c>
      <c r="J198" s="332" t="s">
        <v>67</v>
      </c>
      <c r="K198" s="332" t="s">
        <v>1079</v>
      </c>
      <c r="L198" s="451"/>
      <c r="M198" s="451"/>
      <c r="N198" s="89"/>
      <c r="O198" s="89"/>
      <c r="P198" s="89"/>
      <c r="Q198" s="89"/>
      <c r="R198" s="89"/>
    </row>
    <row r="199" spans="1:18" s="107" customFormat="1" ht="48">
      <c r="A199" s="34" t="s">
        <v>596</v>
      </c>
      <c r="B199" s="475" t="s">
        <v>595</v>
      </c>
      <c r="C199" s="212"/>
      <c r="D199" s="212"/>
      <c r="E199" s="212"/>
      <c r="F199" s="212"/>
      <c r="G199" s="212"/>
      <c r="H199" s="213"/>
      <c r="I199" s="129"/>
      <c r="J199" s="129"/>
      <c r="K199" s="129"/>
      <c r="L199" s="432"/>
      <c r="M199" s="432"/>
      <c r="N199" s="214">
        <f>SUM(N201:N202)</f>
        <v>4523.4610000000002</v>
      </c>
      <c r="O199" s="214">
        <f>SUM(O201:O202)</f>
        <v>4469.6400000000003</v>
      </c>
      <c r="P199" s="214">
        <f t="shared" ref="P199:R199" si="24">SUM(P201:P202)</f>
        <v>5600.2</v>
      </c>
      <c r="Q199" s="214">
        <f t="shared" si="24"/>
        <v>5375.1</v>
      </c>
      <c r="R199" s="214">
        <f t="shared" si="24"/>
        <v>5375.1</v>
      </c>
    </row>
    <row r="200" spans="1:18" s="108" customFormat="1" ht="12">
      <c r="A200" s="36" t="s">
        <v>96</v>
      </c>
      <c r="B200" s="37"/>
      <c r="C200" s="36"/>
      <c r="D200" s="36"/>
      <c r="E200" s="36"/>
      <c r="F200" s="36"/>
      <c r="G200" s="36"/>
      <c r="H200" s="36"/>
      <c r="I200" s="36"/>
      <c r="J200" s="36"/>
      <c r="K200" s="36"/>
      <c r="L200" s="450"/>
      <c r="M200" s="358"/>
      <c r="N200" s="154"/>
      <c r="O200" s="154"/>
      <c r="P200" s="154"/>
      <c r="Q200" s="154"/>
      <c r="R200" s="154"/>
    </row>
    <row r="201" spans="1:18" s="109" customFormat="1" ht="12">
      <c r="A201" s="77"/>
      <c r="B201" s="41"/>
      <c r="C201" s="77"/>
      <c r="D201" s="77"/>
      <c r="E201" s="77"/>
      <c r="F201" s="77"/>
      <c r="G201" s="77"/>
      <c r="H201" s="77"/>
      <c r="I201" s="77"/>
      <c r="J201" s="77"/>
      <c r="K201" s="77"/>
      <c r="L201" s="78" t="s">
        <v>23</v>
      </c>
      <c r="M201" s="143" t="s">
        <v>31</v>
      </c>
      <c r="N201" s="155">
        <f>N203+N206</f>
        <v>4523.4610000000002</v>
      </c>
      <c r="O201" s="155">
        <f>O203+O206</f>
        <v>4469.6400000000003</v>
      </c>
      <c r="P201" s="155">
        <f>P203+P206+P207</f>
        <v>5600.2</v>
      </c>
      <c r="Q201" s="155">
        <f>Q203+Q206+Q207</f>
        <v>5375.1</v>
      </c>
      <c r="R201" s="155">
        <f>R203+R206+R207</f>
        <v>5375.1</v>
      </c>
    </row>
    <row r="202" spans="1:18" s="109" customFormat="1" ht="12">
      <c r="A202" s="80"/>
      <c r="B202" s="112"/>
      <c r="C202" s="80"/>
      <c r="D202" s="80"/>
      <c r="E202" s="80"/>
      <c r="F202" s="80"/>
      <c r="G202" s="80"/>
      <c r="H202" s="80"/>
      <c r="I202" s="80"/>
      <c r="J202" s="80"/>
      <c r="K202" s="80"/>
      <c r="L202" s="82" t="s">
        <v>23</v>
      </c>
      <c r="M202" s="82" t="s">
        <v>40</v>
      </c>
      <c r="N202" s="81"/>
      <c r="O202" s="81"/>
      <c r="P202" s="81"/>
      <c r="Q202" s="81"/>
      <c r="R202" s="81"/>
    </row>
    <row r="203" spans="1:18" s="107" customFormat="1" ht="120.75" customHeight="1">
      <c r="A203" s="552" t="s">
        <v>782</v>
      </c>
      <c r="B203" s="430"/>
      <c r="C203" s="446" t="s">
        <v>55</v>
      </c>
      <c r="D203" s="446" t="s">
        <v>124</v>
      </c>
      <c r="E203" s="446" t="s">
        <v>56</v>
      </c>
      <c r="F203" s="446" t="s">
        <v>448</v>
      </c>
      <c r="G203" s="446" t="s">
        <v>450</v>
      </c>
      <c r="H203" s="446" t="s">
        <v>449</v>
      </c>
      <c r="I203" s="446" t="s">
        <v>948</v>
      </c>
      <c r="J203" s="446" t="s">
        <v>125</v>
      </c>
      <c r="K203" s="442" t="s">
        <v>126</v>
      </c>
      <c r="L203" s="482" t="s">
        <v>23</v>
      </c>
      <c r="M203" s="144" t="s">
        <v>31</v>
      </c>
      <c r="N203" s="84">
        <v>4523.4610000000002</v>
      </c>
      <c r="O203" s="84">
        <v>4469.6400000000003</v>
      </c>
      <c r="P203" s="84">
        <f>5649.2-49</f>
        <v>5600.2</v>
      </c>
      <c r="Q203" s="84">
        <f>5424.1-49</f>
        <v>5375.1</v>
      </c>
      <c r="R203" s="84">
        <f>5424.1-49</f>
        <v>5375.1</v>
      </c>
    </row>
    <row r="204" spans="1:18" s="107" customFormat="1" ht="48.75" customHeight="1">
      <c r="A204" s="552"/>
      <c r="B204" s="430"/>
      <c r="C204" s="444"/>
      <c r="D204" s="444"/>
      <c r="E204" s="444"/>
      <c r="F204" s="444"/>
      <c r="G204" s="444"/>
      <c r="H204" s="444"/>
      <c r="I204" s="444" t="s">
        <v>455</v>
      </c>
      <c r="J204" s="444" t="s">
        <v>67</v>
      </c>
      <c r="K204" s="444" t="s">
        <v>432</v>
      </c>
      <c r="L204" s="509"/>
      <c r="M204" s="139"/>
      <c r="N204" s="84"/>
      <c r="O204" s="84"/>
      <c r="P204" s="84"/>
      <c r="Q204" s="84"/>
      <c r="R204" s="84"/>
    </row>
    <row r="205" spans="1:18" s="107" customFormat="1" ht="82.5" customHeight="1">
      <c r="A205" s="435"/>
      <c r="B205" s="430"/>
      <c r="C205" s="444"/>
      <c r="D205" s="444"/>
      <c r="E205" s="444"/>
      <c r="F205" s="444"/>
      <c r="G205" s="444"/>
      <c r="H205" s="462"/>
      <c r="I205" s="446" t="s">
        <v>1357</v>
      </c>
      <c r="J205" s="446" t="s">
        <v>67</v>
      </c>
      <c r="K205" s="446" t="s">
        <v>115</v>
      </c>
      <c r="L205" s="511"/>
      <c r="M205" s="511"/>
      <c r="N205" s="101"/>
      <c r="O205" s="101"/>
      <c r="P205" s="101"/>
      <c r="Q205" s="101"/>
      <c r="R205" s="101"/>
    </row>
    <row r="206" spans="1:18" s="107" customFormat="1" ht="60" hidden="1">
      <c r="A206" s="42" t="s">
        <v>783</v>
      </c>
      <c r="B206" s="430">
        <v>567</v>
      </c>
      <c r="C206" s="42"/>
      <c r="D206" s="42"/>
      <c r="E206" s="42"/>
      <c r="F206" s="542" t="s">
        <v>949</v>
      </c>
      <c r="G206" s="542" t="s">
        <v>950</v>
      </c>
      <c r="H206" s="559" t="s">
        <v>983</v>
      </c>
      <c r="I206" s="496" t="s">
        <v>921</v>
      </c>
      <c r="J206" s="496" t="s">
        <v>67</v>
      </c>
      <c r="K206" s="496" t="s">
        <v>922</v>
      </c>
      <c r="L206" s="439">
        <v>11</v>
      </c>
      <c r="M206" s="482" t="s">
        <v>31</v>
      </c>
      <c r="N206" s="84">
        <v>0</v>
      </c>
      <c r="O206" s="84">
        <v>0</v>
      </c>
      <c r="P206" s="84">
        <v>0</v>
      </c>
      <c r="Q206" s="84">
        <v>0</v>
      </c>
      <c r="R206" s="84">
        <v>0</v>
      </c>
    </row>
    <row r="207" spans="1:18" s="107" customFormat="1" ht="48.75" hidden="1" customHeight="1">
      <c r="A207" s="42"/>
      <c r="B207" s="430"/>
      <c r="C207" s="42"/>
      <c r="D207" s="42"/>
      <c r="E207" s="42"/>
      <c r="F207" s="542"/>
      <c r="G207" s="542"/>
      <c r="H207" s="559"/>
      <c r="I207" s="484" t="s">
        <v>90</v>
      </c>
      <c r="J207" s="484" t="s">
        <v>67</v>
      </c>
      <c r="K207" s="484" t="s">
        <v>70</v>
      </c>
      <c r="L207" s="439"/>
      <c r="M207" s="439"/>
      <c r="N207" s="84"/>
      <c r="O207" s="84"/>
      <c r="P207" s="84"/>
      <c r="Q207" s="84"/>
      <c r="R207" s="84"/>
    </row>
    <row r="208" spans="1:18" s="108" customFormat="1" ht="48">
      <c r="A208" s="65" t="s">
        <v>597</v>
      </c>
      <c r="B208" s="467">
        <v>1047</v>
      </c>
      <c r="C208" s="65" t="s">
        <v>30</v>
      </c>
      <c r="D208" s="65" t="s">
        <v>30</v>
      </c>
      <c r="E208" s="65" t="s">
        <v>30</v>
      </c>
      <c r="F208" s="65" t="s">
        <v>30</v>
      </c>
      <c r="G208" s="65" t="s">
        <v>30</v>
      </c>
      <c r="H208" s="65" t="s">
        <v>30</v>
      </c>
      <c r="I208" s="65" t="s">
        <v>30</v>
      </c>
      <c r="J208" s="65" t="s">
        <v>30</v>
      </c>
      <c r="K208" s="65" t="s">
        <v>30</v>
      </c>
      <c r="L208" s="467"/>
      <c r="M208" s="467"/>
      <c r="N208" s="298">
        <f>SUM(N210:N211)</f>
        <v>10420.587</v>
      </c>
      <c r="O208" s="298">
        <f>SUM(O210:O211)</f>
        <v>9406.4629999999997</v>
      </c>
      <c r="P208" s="298">
        <f>SUM(P210:P211)</f>
        <v>127154.19500000001</v>
      </c>
      <c r="Q208" s="298">
        <f>SUM(Q210:Q211)</f>
        <v>2367.1999999999998</v>
      </c>
      <c r="R208" s="298">
        <f>SUM(R210:R211)</f>
        <v>2367.1999999999998</v>
      </c>
    </row>
    <row r="209" spans="1:18" s="108" customFormat="1" ht="12">
      <c r="A209" s="88" t="s">
        <v>96</v>
      </c>
      <c r="B209" s="451"/>
      <c r="C209" s="88"/>
      <c r="D209" s="88"/>
      <c r="E209" s="88"/>
      <c r="F209" s="88"/>
      <c r="G209" s="88"/>
      <c r="H209" s="88"/>
      <c r="I209" s="88"/>
      <c r="J209" s="88"/>
      <c r="K209" s="88"/>
      <c r="L209" s="477"/>
      <c r="M209" s="497"/>
      <c r="N209" s="72"/>
      <c r="O209" s="72"/>
      <c r="P209" s="72"/>
      <c r="Q209" s="72"/>
      <c r="R209" s="72"/>
    </row>
    <row r="210" spans="1:18" s="109" customFormat="1" ht="12">
      <c r="A210" s="77"/>
      <c r="B210" s="41"/>
      <c r="C210" s="77"/>
      <c r="D210" s="77"/>
      <c r="E210" s="77"/>
      <c r="F210" s="77"/>
      <c r="G210" s="77"/>
      <c r="H210" s="77"/>
      <c r="I210" s="77"/>
      <c r="J210" s="77"/>
      <c r="K210" s="77"/>
      <c r="L210" s="78" t="s">
        <v>23</v>
      </c>
      <c r="M210" s="143" t="s">
        <v>35</v>
      </c>
      <c r="N210" s="155">
        <f>N212+N218+N219+N220+N221+N222+N223+N225</f>
        <v>10420.587</v>
      </c>
      <c r="O210" s="155">
        <f t="shared" ref="O210" si="25">O212+O218+O219+O220+O221+O222+O223+O225</f>
        <v>9406.4629999999997</v>
      </c>
      <c r="P210" s="155">
        <f>P212+P218+P219+P221+P222+P223+P224+P225</f>
        <v>127037.19500000001</v>
      </c>
      <c r="Q210" s="155">
        <f t="shared" ref="Q210:R210" si="26">Q212+Q218+Q219+Q221+Q222+Q223+Q224+Q225</f>
        <v>2207.1</v>
      </c>
      <c r="R210" s="155">
        <f t="shared" si="26"/>
        <v>2207.1</v>
      </c>
    </row>
    <row r="211" spans="1:18" s="109" customFormat="1" ht="12">
      <c r="A211" s="80"/>
      <c r="B211" s="112"/>
      <c r="C211" s="80"/>
      <c r="D211" s="80"/>
      <c r="E211" s="80"/>
      <c r="F211" s="80"/>
      <c r="G211" s="80"/>
      <c r="H211" s="80"/>
      <c r="I211" s="80"/>
      <c r="J211" s="80"/>
      <c r="K211" s="80"/>
      <c r="L211" s="82" t="s">
        <v>23</v>
      </c>
      <c r="M211" s="137" t="s">
        <v>40</v>
      </c>
      <c r="N211" s="81">
        <f>N216+N217</f>
        <v>0</v>
      </c>
      <c r="O211" s="81">
        <f>O216+O217</f>
        <v>0</v>
      </c>
      <c r="P211" s="81">
        <f>P216+P217+P220</f>
        <v>117</v>
      </c>
      <c r="Q211" s="81">
        <f t="shared" ref="Q211:R211" si="27">Q216+Q217+Q220</f>
        <v>160.1</v>
      </c>
      <c r="R211" s="81">
        <f t="shared" si="27"/>
        <v>160.1</v>
      </c>
    </row>
    <row r="212" spans="1:18" s="107" customFormat="1" ht="120.75" customHeight="1">
      <c r="A212" s="551"/>
      <c r="B212" s="430"/>
      <c r="C212" s="446" t="s">
        <v>55</v>
      </c>
      <c r="D212" s="446" t="s">
        <v>124</v>
      </c>
      <c r="E212" s="446" t="s">
        <v>56</v>
      </c>
      <c r="F212" s="446" t="s">
        <v>448</v>
      </c>
      <c r="G212" s="446" t="s">
        <v>450</v>
      </c>
      <c r="H212" s="446" t="s">
        <v>449</v>
      </c>
      <c r="I212" s="446" t="s">
        <v>948</v>
      </c>
      <c r="J212" s="446" t="s">
        <v>125</v>
      </c>
      <c r="K212" s="442" t="s">
        <v>126</v>
      </c>
      <c r="L212" s="438">
        <v>11</v>
      </c>
      <c r="M212" s="481" t="s">
        <v>35</v>
      </c>
      <c r="N212" s="83">
        <f>3040.495+1013.806</f>
        <v>4054.3009999999999</v>
      </c>
      <c r="O212" s="83">
        <f>2261.414+893.806</f>
        <v>3155.2200000000003</v>
      </c>
      <c r="P212" s="83">
        <f>5292.86+130+120+40</f>
        <v>5582.86</v>
      </c>
      <c r="Q212" s="83">
        <v>1217.0999999999999</v>
      </c>
      <c r="R212" s="83">
        <v>1217.0999999999999</v>
      </c>
    </row>
    <row r="213" spans="1:18" s="107" customFormat="1" ht="48" customHeight="1">
      <c r="A213" s="552"/>
      <c r="B213" s="430"/>
      <c r="C213" s="430" t="s">
        <v>445</v>
      </c>
      <c r="D213" s="430" t="s">
        <v>446</v>
      </c>
      <c r="E213" s="430" t="s">
        <v>447</v>
      </c>
      <c r="F213" s="42"/>
      <c r="G213" s="42"/>
      <c r="H213" s="42"/>
      <c r="I213" s="453" t="s">
        <v>90</v>
      </c>
      <c r="J213" s="453" t="s">
        <v>67</v>
      </c>
      <c r="K213" s="460" t="s">
        <v>70</v>
      </c>
      <c r="L213" s="482"/>
      <c r="M213" s="482"/>
      <c r="N213" s="84"/>
      <c r="O213" s="84"/>
      <c r="P213" s="84"/>
      <c r="Q213" s="84"/>
      <c r="R213" s="84"/>
    </row>
    <row r="214" spans="1:18" s="107" customFormat="1" ht="132" customHeight="1">
      <c r="A214" s="435"/>
      <c r="B214" s="430"/>
      <c r="C214" s="42"/>
      <c r="D214" s="42"/>
      <c r="E214" s="42"/>
      <c r="F214" s="42"/>
      <c r="G214" s="42"/>
      <c r="H214" s="42"/>
      <c r="I214" s="430" t="s">
        <v>1358</v>
      </c>
      <c r="J214" s="42" t="s">
        <v>67</v>
      </c>
      <c r="K214" s="391" t="s">
        <v>123</v>
      </c>
      <c r="L214" s="439"/>
      <c r="M214" s="482"/>
      <c r="N214" s="84"/>
      <c r="O214" s="84"/>
      <c r="P214" s="84"/>
      <c r="Q214" s="84"/>
      <c r="R214" s="84"/>
    </row>
    <row r="215" spans="1:18" s="107" customFormat="1" ht="145.5" customHeight="1">
      <c r="A215" s="435"/>
      <c r="B215" s="430"/>
      <c r="C215" s="42"/>
      <c r="D215" s="42"/>
      <c r="E215" s="42"/>
      <c r="F215" s="42"/>
      <c r="G215" s="42"/>
      <c r="H215" s="42"/>
      <c r="I215" s="462" t="s">
        <v>858</v>
      </c>
      <c r="J215" s="446" t="s">
        <v>67</v>
      </c>
      <c r="K215" s="442" t="s">
        <v>434</v>
      </c>
      <c r="L215" s="511"/>
      <c r="M215" s="511"/>
      <c r="N215" s="101"/>
      <c r="O215" s="101"/>
      <c r="P215" s="101"/>
      <c r="Q215" s="101"/>
      <c r="R215" s="101"/>
    </row>
    <row r="216" spans="1:18" s="107" customFormat="1" ht="130.5" hidden="1" customHeight="1">
      <c r="A216" s="435"/>
      <c r="B216" s="509" t="s">
        <v>334</v>
      </c>
      <c r="C216" s="42"/>
      <c r="D216" s="42"/>
      <c r="E216" s="42"/>
      <c r="F216" s="542" t="s">
        <v>949</v>
      </c>
      <c r="G216" s="542" t="s">
        <v>951</v>
      </c>
      <c r="H216" s="559" t="s">
        <v>983</v>
      </c>
      <c r="I216" s="542" t="s">
        <v>1014</v>
      </c>
      <c r="J216" s="444" t="s">
        <v>67</v>
      </c>
      <c r="K216" s="462" t="s">
        <v>1015</v>
      </c>
      <c r="L216" s="511" t="s">
        <v>23</v>
      </c>
      <c r="M216" s="511" t="s">
        <v>40</v>
      </c>
      <c r="N216" s="84">
        <v>0</v>
      </c>
      <c r="O216" s="84">
        <v>0</v>
      </c>
      <c r="P216" s="84">
        <v>0</v>
      </c>
      <c r="Q216" s="84">
        <v>0</v>
      </c>
      <c r="R216" s="84">
        <v>0</v>
      </c>
    </row>
    <row r="217" spans="1:18" s="107" customFormat="1" ht="132" customHeight="1">
      <c r="A217" s="435"/>
      <c r="B217" s="509"/>
      <c r="C217" s="42"/>
      <c r="D217" s="42"/>
      <c r="E217" s="42"/>
      <c r="F217" s="542"/>
      <c r="G217" s="542"/>
      <c r="H217" s="559"/>
      <c r="I217" s="542"/>
      <c r="J217" s="444" t="s">
        <v>67</v>
      </c>
      <c r="K217" s="462" t="s">
        <v>1015</v>
      </c>
      <c r="L217" s="95" t="s">
        <v>23</v>
      </c>
      <c r="M217" s="148" t="s">
        <v>40</v>
      </c>
      <c r="N217" s="118">
        <v>0</v>
      </c>
      <c r="O217" s="118">
        <v>0</v>
      </c>
      <c r="P217" s="118">
        <v>13.4</v>
      </c>
      <c r="Q217" s="118">
        <v>13.4</v>
      </c>
      <c r="R217" s="118">
        <v>13.4</v>
      </c>
    </row>
    <row r="218" spans="1:18" s="107" customFormat="1" ht="66" customHeight="1">
      <c r="A218" s="435"/>
      <c r="B218" s="509"/>
      <c r="C218" s="42"/>
      <c r="D218" s="42"/>
      <c r="E218" s="42"/>
      <c r="F218" s="542" t="s">
        <v>949</v>
      </c>
      <c r="G218" s="542" t="s">
        <v>952</v>
      </c>
      <c r="H218" s="559" t="s">
        <v>983</v>
      </c>
      <c r="I218" s="542" t="s">
        <v>1424</v>
      </c>
      <c r="J218" s="542" t="s">
        <v>67</v>
      </c>
      <c r="K218" s="559" t="s">
        <v>1425</v>
      </c>
      <c r="L218" s="481" t="s">
        <v>23</v>
      </c>
      <c r="M218" s="481" t="s">
        <v>35</v>
      </c>
      <c r="N218" s="104">
        <v>90</v>
      </c>
      <c r="O218" s="104">
        <v>90</v>
      </c>
      <c r="P218" s="104">
        <v>90</v>
      </c>
      <c r="Q218" s="104">
        <v>90</v>
      </c>
      <c r="R218" s="104">
        <v>90</v>
      </c>
    </row>
    <row r="219" spans="1:18" s="107" customFormat="1" ht="42" customHeight="1">
      <c r="A219" s="435"/>
      <c r="B219" s="509" t="s">
        <v>805</v>
      </c>
      <c r="C219" s="42"/>
      <c r="D219" s="42"/>
      <c r="E219" s="42"/>
      <c r="F219" s="542"/>
      <c r="G219" s="542"/>
      <c r="H219" s="559"/>
      <c r="I219" s="542"/>
      <c r="J219" s="542"/>
      <c r="K219" s="559"/>
      <c r="L219" s="198" t="s">
        <v>23</v>
      </c>
      <c r="M219" s="198" t="s">
        <v>35</v>
      </c>
      <c r="N219" s="308">
        <v>900</v>
      </c>
      <c r="O219" s="308">
        <v>900</v>
      </c>
      <c r="P219" s="308">
        <v>900</v>
      </c>
      <c r="Q219" s="382">
        <v>900</v>
      </c>
      <c r="R219" s="333">
        <v>900</v>
      </c>
    </row>
    <row r="220" spans="1:18" s="107" customFormat="1" ht="24" customHeight="1">
      <c r="A220" s="435"/>
      <c r="B220" s="509" t="s">
        <v>1299</v>
      </c>
      <c r="C220" s="42"/>
      <c r="D220" s="42"/>
      <c r="E220" s="42"/>
      <c r="F220" s="542"/>
      <c r="G220" s="542"/>
      <c r="H220" s="542"/>
      <c r="I220" s="542"/>
      <c r="J220" s="542"/>
      <c r="K220" s="548"/>
      <c r="L220" s="198" t="s">
        <v>23</v>
      </c>
      <c r="M220" s="198" t="s">
        <v>40</v>
      </c>
      <c r="N220" s="199">
        <v>0</v>
      </c>
      <c r="O220" s="199">
        <v>0</v>
      </c>
      <c r="P220" s="199">
        <v>103.6</v>
      </c>
      <c r="Q220" s="199">
        <v>146.69999999999999</v>
      </c>
      <c r="R220" s="199">
        <v>146.69999999999999</v>
      </c>
    </row>
    <row r="221" spans="1:18" s="107" customFormat="1" ht="36" hidden="1" customHeight="1">
      <c r="A221" s="435"/>
      <c r="B221" s="509"/>
      <c r="C221" s="42"/>
      <c r="D221" s="42"/>
      <c r="E221" s="42"/>
      <c r="F221" s="542"/>
      <c r="G221" s="542"/>
      <c r="H221" s="542"/>
      <c r="I221" s="542"/>
      <c r="J221" s="542"/>
      <c r="K221" s="542"/>
      <c r="L221" s="198" t="s">
        <v>23</v>
      </c>
      <c r="M221" s="198" t="s">
        <v>35</v>
      </c>
      <c r="N221" s="199">
        <v>0</v>
      </c>
      <c r="O221" s="199">
        <v>0</v>
      </c>
      <c r="P221" s="199">
        <v>0</v>
      </c>
      <c r="Q221" s="199">
        <v>0</v>
      </c>
      <c r="R221" s="199">
        <v>0</v>
      </c>
    </row>
    <row r="222" spans="1:18" s="107" customFormat="1" ht="36" hidden="1" customHeight="1">
      <c r="A222" s="435"/>
      <c r="B222" s="509" t="s">
        <v>845</v>
      </c>
      <c r="C222" s="42"/>
      <c r="D222" s="42"/>
      <c r="E222" s="42"/>
      <c r="F222" s="542"/>
      <c r="G222" s="542"/>
      <c r="H222" s="542"/>
      <c r="I222" s="542"/>
      <c r="J222" s="542"/>
      <c r="K222" s="542"/>
      <c r="L222" s="508" t="s">
        <v>23</v>
      </c>
      <c r="M222" s="508" t="s">
        <v>35</v>
      </c>
      <c r="N222" s="313">
        <v>0</v>
      </c>
      <c r="O222" s="313">
        <v>0</v>
      </c>
      <c r="P222" s="313">
        <v>0</v>
      </c>
      <c r="Q222" s="313">
        <v>0</v>
      </c>
      <c r="R222" s="313">
        <v>0</v>
      </c>
    </row>
    <row r="223" spans="1:18" s="107" customFormat="1" ht="102" customHeight="1">
      <c r="A223" s="435"/>
      <c r="B223" s="509" t="s">
        <v>913</v>
      </c>
      <c r="C223" s="42"/>
      <c r="D223" s="42"/>
      <c r="E223" s="42"/>
      <c r="F223" s="430"/>
      <c r="G223" s="430"/>
      <c r="H223" s="430"/>
      <c r="I223" s="542" t="s">
        <v>1342</v>
      </c>
      <c r="J223" s="542" t="s">
        <v>67</v>
      </c>
      <c r="K223" s="542" t="s">
        <v>1343</v>
      </c>
      <c r="L223" s="133" t="s">
        <v>23</v>
      </c>
      <c r="M223" s="95" t="s">
        <v>35</v>
      </c>
      <c r="N223" s="104">
        <v>4339.2</v>
      </c>
      <c r="O223" s="104">
        <v>4246.3490000000002</v>
      </c>
      <c r="P223" s="104">
        <v>3585.1</v>
      </c>
      <c r="Q223" s="104">
        <v>0</v>
      </c>
      <c r="R223" s="104">
        <v>0</v>
      </c>
    </row>
    <row r="224" spans="1:18" s="107" customFormat="1" ht="27.75" customHeight="1">
      <c r="A224" s="435"/>
      <c r="B224" s="509" t="s">
        <v>1298</v>
      </c>
      <c r="C224" s="42"/>
      <c r="D224" s="42"/>
      <c r="E224" s="42"/>
      <c r="F224" s="430"/>
      <c r="G224" s="430"/>
      <c r="H224" s="430"/>
      <c r="I224" s="542"/>
      <c r="J224" s="542"/>
      <c r="K224" s="542"/>
      <c r="L224" s="133" t="s">
        <v>23</v>
      </c>
      <c r="M224" s="95" t="s">
        <v>35</v>
      </c>
      <c r="N224" s="104">
        <v>0</v>
      </c>
      <c r="O224" s="104">
        <v>0</v>
      </c>
      <c r="P224" s="104">
        <v>115917.7</v>
      </c>
      <c r="Q224" s="104">
        <v>0</v>
      </c>
      <c r="R224" s="104">
        <v>0</v>
      </c>
    </row>
    <row r="225" spans="1:18" s="107" customFormat="1" ht="13.5" customHeight="1">
      <c r="A225" s="435"/>
      <c r="B225" s="509"/>
      <c r="C225" s="42"/>
      <c r="D225" s="42"/>
      <c r="E225" s="42"/>
      <c r="F225" s="430"/>
      <c r="G225" s="430"/>
      <c r="H225" s="430"/>
      <c r="I225" s="542"/>
      <c r="J225" s="542"/>
      <c r="K225" s="542"/>
      <c r="L225" s="133" t="s">
        <v>23</v>
      </c>
      <c r="M225" s="95" t="s">
        <v>35</v>
      </c>
      <c r="N225" s="104">
        <v>1037.086</v>
      </c>
      <c r="O225" s="104">
        <v>1014.894</v>
      </c>
      <c r="P225" s="104">
        <v>961.53499999999997</v>
      </c>
      <c r="Q225" s="104">
        <v>0</v>
      </c>
      <c r="R225" s="104">
        <v>0</v>
      </c>
    </row>
    <row r="226" spans="1:18" s="108" customFormat="1" ht="36">
      <c r="A226" s="195" t="s">
        <v>598</v>
      </c>
      <c r="B226" s="37">
        <v>1048</v>
      </c>
      <c r="C226" s="36"/>
      <c r="D226" s="36"/>
      <c r="E226" s="36"/>
      <c r="F226" s="36"/>
      <c r="G226" s="36"/>
      <c r="H226" s="36"/>
      <c r="I226" s="2"/>
      <c r="J226" s="2"/>
      <c r="K226" s="2"/>
      <c r="L226" s="451"/>
      <c r="M226" s="149"/>
      <c r="N226" s="283">
        <f>SUM(N227:N227)</f>
        <v>0</v>
      </c>
      <c r="O226" s="283">
        <f>SUM(O227:O227)</f>
        <v>0</v>
      </c>
      <c r="P226" s="283">
        <f t="shared" ref="P226:R226" si="28">SUM(P227:P227)</f>
        <v>300</v>
      </c>
      <c r="Q226" s="283">
        <f t="shared" si="28"/>
        <v>0</v>
      </c>
      <c r="R226" s="283">
        <f t="shared" si="28"/>
        <v>0</v>
      </c>
    </row>
    <row r="227" spans="1:18" s="107" customFormat="1" ht="72.75" customHeight="1">
      <c r="A227" s="49"/>
      <c r="B227" s="450"/>
      <c r="C227" s="431" t="s">
        <v>127</v>
      </c>
      <c r="D227" s="431" t="s">
        <v>128</v>
      </c>
      <c r="E227" s="431" t="s">
        <v>56</v>
      </c>
      <c r="F227" s="431"/>
      <c r="G227" s="431"/>
      <c r="H227" s="431"/>
      <c r="I227" s="446" t="s">
        <v>953</v>
      </c>
      <c r="J227" s="446" t="s">
        <v>98</v>
      </c>
      <c r="K227" s="446" t="s">
        <v>129</v>
      </c>
      <c r="L227" s="79" t="s">
        <v>42</v>
      </c>
      <c r="M227" s="506" t="s">
        <v>42</v>
      </c>
      <c r="N227" s="59">
        <v>0</v>
      </c>
      <c r="O227" s="59">
        <v>0</v>
      </c>
      <c r="P227" s="59">
        <v>300</v>
      </c>
      <c r="Q227" s="59">
        <v>0</v>
      </c>
      <c r="R227" s="59">
        <v>0</v>
      </c>
    </row>
    <row r="228" spans="1:18" s="107" customFormat="1" ht="12.75" customHeight="1">
      <c r="A228" s="553" t="s">
        <v>1377</v>
      </c>
      <c r="B228" s="37">
        <v>1055</v>
      </c>
      <c r="C228" s="273"/>
      <c r="D228" s="273"/>
      <c r="E228" s="273"/>
      <c r="F228" s="273"/>
      <c r="G228" s="273"/>
      <c r="H228" s="273"/>
      <c r="I228" s="273"/>
      <c r="J228" s="273"/>
      <c r="K228" s="273"/>
      <c r="L228" s="487"/>
      <c r="M228" s="487"/>
      <c r="N228" s="206">
        <f>SUM(N229:N231)</f>
        <v>0</v>
      </c>
      <c r="O228" s="206">
        <f t="shared" ref="O228:R228" si="29">SUM(O229:O231)</f>
        <v>0</v>
      </c>
      <c r="P228" s="206">
        <f t="shared" si="29"/>
        <v>4546.32</v>
      </c>
      <c r="Q228" s="206">
        <f t="shared" si="29"/>
        <v>0</v>
      </c>
      <c r="R228" s="206">
        <f t="shared" si="29"/>
        <v>11942.64</v>
      </c>
    </row>
    <row r="229" spans="1:18" s="108" customFormat="1" ht="66.75" customHeight="1">
      <c r="A229" s="552"/>
      <c r="B229" s="508" t="s">
        <v>1296</v>
      </c>
      <c r="C229" s="432"/>
      <c r="D229" s="432"/>
      <c r="E229" s="432"/>
      <c r="F229" s="49"/>
      <c r="G229" s="49"/>
      <c r="H229" s="49"/>
      <c r="I229" s="534" t="s">
        <v>1426</v>
      </c>
      <c r="J229" s="432" t="s">
        <v>67</v>
      </c>
      <c r="K229" s="432" t="s">
        <v>1316</v>
      </c>
      <c r="L229" s="198" t="s">
        <v>36</v>
      </c>
      <c r="M229" s="198" t="s">
        <v>24</v>
      </c>
      <c r="N229" s="207">
        <v>0</v>
      </c>
      <c r="O229" s="207">
        <v>0</v>
      </c>
      <c r="P229" s="207">
        <v>1085.432</v>
      </c>
      <c r="Q229" s="207">
        <v>0</v>
      </c>
      <c r="R229" s="407">
        <v>2029.3420000000001</v>
      </c>
    </row>
    <row r="230" spans="1:18" s="108" customFormat="1" ht="19.5" customHeight="1">
      <c r="A230" s="552"/>
      <c r="B230" s="509"/>
      <c r="C230" s="430"/>
      <c r="D230" s="430"/>
      <c r="E230" s="430"/>
      <c r="F230" s="42"/>
      <c r="G230" s="42"/>
      <c r="H230" s="42"/>
      <c r="I230" s="531"/>
      <c r="J230" s="430"/>
      <c r="K230" s="430"/>
      <c r="L230" s="198"/>
      <c r="M230" s="198"/>
      <c r="N230" s="207">
        <v>0</v>
      </c>
      <c r="O230" s="207">
        <v>0</v>
      </c>
      <c r="P230" s="207">
        <v>57.095999999999997</v>
      </c>
      <c r="Q230" s="207">
        <v>0</v>
      </c>
      <c r="R230" s="407">
        <v>168.685</v>
      </c>
    </row>
    <row r="231" spans="1:18" s="108" customFormat="1" ht="48" customHeight="1">
      <c r="A231" s="561"/>
      <c r="B231" s="402" t="s">
        <v>1297</v>
      </c>
      <c r="C231" s="447"/>
      <c r="D231" s="447"/>
      <c r="E231" s="447"/>
      <c r="F231" s="408"/>
      <c r="G231" s="408"/>
      <c r="H231" s="408"/>
      <c r="I231" s="422" t="s">
        <v>1427</v>
      </c>
      <c r="J231" s="447" t="s">
        <v>67</v>
      </c>
      <c r="K231" s="447" t="s">
        <v>1428</v>
      </c>
      <c r="L231" s="198" t="s">
        <v>36</v>
      </c>
      <c r="M231" s="198" t="s">
        <v>24</v>
      </c>
      <c r="N231" s="207">
        <v>0</v>
      </c>
      <c r="O231" s="207">
        <v>0</v>
      </c>
      <c r="P231" s="207">
        <v>3403.7919999999999</v>
      </c>
      <c r="Q231" s="207">
        <v>0</v>
      </c>
      <c r="R231" s="407">
        <v>9744.6129999999994</v>
      </c>
    </row>
    <row r="232" spans="1:18" s="108" customFormat="1" ht="12.75" customHeight="1">
      <c r="A232" s="553" t="s">
        <v>1074</v>
      </c>
      <c r="B232" s="450">
        <v>1059</v>
      </c>
      <c r="C232" s="472"/>
      <c r="D232" s="472"/>
      <c r="E232" s="472"/>
      <c r="F232" s="472"/>
      <c r="G232" s="472"/>
      <c r="H232" s="472"/>
      <c r="I232" s="263"/>
      <c r="J232" s="129"/>
      <c r="K232" s="129"/>
      <c r="L232" s="450"/>
      <c r="M232" s="450"/>
      <c r="N232" s="35">
        <f>SUM(N233:N237)</f>
        <v>1203.0999999999999</v>
      </c>
      <c r="O232" s="35">
        <f>SUM(O233:O237)</f>
        <v>1178.0999999999999</v>
      </c>
      <c r="P232" s="35">
        <f>SUM(P233:P241)</f>
        <v>804.77900000000011</v>
      </c>
      <c r="Q232" s="35">
        <f>SUM(Q233:Q237)</f>
        <v>69.2</v>
      </c>
      <c r="R232" s="35">
        <f>SUM(R233:R237)</f>
        <v>69.2</v>
      </c>
    </row>
    <row r="233" spans="1:18" s="108" customFormat="1" ht="143.25" customHeight="1">
      <c r="A233" s="554"/>
      <c r="B233" s="450"/>
      <c r="C233" s="472" t="s">
        <v>358</v>
      </c>
      <c r="D233" s="472" t="s">
        <v>446</v>
      </c>
      <c r="E233" s="472" t="s">
        <v>190</v>
      </c>
      <c r="F233" s="472" t="s">
        <v>415</v>
      </c>
      <c r="G233" s="472" t="s">
        <v>416</v>
      </c>
      <c r="H233" s="472" t="s">
        <v>417</v>
      </c>
      <c r="I233" s="263" t="s">
        <v>191</v>
      </c>
      <c r="J233" s="129" t="s">
        <v>1303</v>
      </c>
      <c r="K233" s="129" t="s">
        <v>192</v>
      </c>
      <c r="L233" s="432" t="s">
        <v>22</v>
      </c>
      <c r="M233" s="432" t="s">
        <v>36</v>
      </c>
      <c r="N233" s="207">
        <v>25</v>
      </c>
      <c r="O233" s="207">
        <v>0</v>
      </c>
      <c r="P233" s="207">
        <v>0</v>
      </c>
      <c r="Q233" s="207">
        <v>0</v>
      </c>
      <c r="R233" s="207">
        <v>0</v>
      </c>
    </row>
    <row r="234" spans="1:18" s="108" customFormat="1" ht="60" customHeight="1">
      <c r="A234" s="554"/>
      <c r="B234" s="509" t="s">
        <v>1374</v>
      </c>
      <c r="C234" s="576" t="s">
        <v>511</v>
      </c>
      <c r="D234" s="510" t="s">
        <v>796</v>
      </c>
      <c r="E234" s="510" t="s">
        <v>512</v>
      </c>
      <c r="F234" s="576" t="s">
        <v>1010</v>
      </c>
      <c r="G234" s="444" t="s">
        <v>1011</v>
      </c>
      <c r="H234" s="443" t="s">
        <v>983</v>
      </c>
      <c r="I234" s="444" t="s">
        <v>1391</v>
      </c>
      <c r="J234" s="444" t="s">
        <v>67</v>
      </c>
      <c r="K234" s="444" t="s">
        <v>1392</v>
      </c>
      <c r="L234" s="432" t="s">
        <v>22</v>
      </c>
      <c r="M234" s="432" t="s">
        <v>36</v>
      </c>
      <c r="N234" s="207">
        <v>400.47958</v>
      </c>
      <c r="O234" s="207">
        <v>400.47958</v>
      </c>
      <c r="P234" s="207">
        <v>95.388999999999996</v>
      </c>
      <c r="Q234" s="207">
        <v>0</v>
      </c>
      <c r="R234" s="207">
        <v>0</v>
      </c>
    </row>
    <row r="235" spans="1:18" s="108" customFormat="1" ht="12">
      <c r="A235" s="554"/>
      <c r="B235" s="509"/>
      <c r="C235" s="576"/>
      <c r="D235" s="510"/>
      <c r="E235" s="510"/>
      <c r="F235" s="576"/>
      <c r="G235" s="444"/>
      <c r="H235" s="443"/>
      <c r="I235" s="444"/>
      <c r="J235" s="444"/>
      <c r="K235" s="444"/>
      <c r="L235" s="432" t="s">
        <v>22</v>
      </c>
      <c r="M235" s="432" t="s">
        <v>36</v>
      </c>
      <c r="N235" s="207">
        <v>400.47958</v>
      </c>
      <c r="O235" s="207">
        <v>400.47958</v>
      </c>
      <c r="P235" s="207">
        <f>79.603+160.2</f>
        <v>239.803</v>
      </c>
      <c r="Q235" s="207">
        <v>0</v>
      </c>
      <c r="R235" s="207">
        <v>0</v>
      </c>
    </row>
    <row r="236" spans="1:18" s="108" customFormat="1" ht="72" customHeight="1">
      <c r="A236" s="554"/>
      <c r="B236" s="509" t="s">
        <v>1375</v>
      </c>
      <c r="C236" s="576"/>
      <c r="D236" s="510"/>
      <c r="E236" s="510"/>
      <c r="F236" s="576"/>
      <c r="G236" s="510"/>
      <c r="H236" s="510"/>
      <c r="I236" s="444" t="s">
        <v>122</v>
      </c>
      <c r="J236" s="444" t="s">
        <v>412</v>
      </c>
      <c r="K236" s="444" t="s">
        <v>413</v>
      </c>
      <c r="L236" s="432" t="s">
        <v>22</v>
      </c>
      <c r="M236" s="432" t="s">
        <v>36</v>
      </c>
      <c r="N236" s="207">
        <v>377.14084000000003</v>
      </c>
      <c r="O236" s="207">
        <v>377.14084000000003</v>
      </c>
      <c r="P236" s="207">
        <v>198.011</v>
      </c>
      <c r="Q236" s="207">
        <v>0</v>
      </c>
      <c r="R236" s="207">
        <v>0</v>
      </c>
    </row>
    <row r="237" spans="1:18" s="108" customFormat="1" ht="25.5" customHeight="1">
      <c r="A237" s="555"/>
      <c r="B237" s="402" t="s">
        <v>519</v>
      </c>
      <c r="C237" s="403"/>
      <c r="D237" s="403"/>
      <c r="E237" s="403"/>
      <c r="F237" s="403"/>
      <c r="G237" s="403"/>
      <c r="H237" s="403"/>
      <c r="I237" s="404"/>
      <c r="J237" s="405"/>
      <c r="K237" s="405"/>
      <c r="L237" s="508" t="s">
        <v>34</v>
      </c>
      <c r="M237" s="508" t="s">
        <v>31</v>
      </c>
      <c r="N237" s="18">
        <v>0</v>
      </c>
      <c r="O237" s="18">
        <v>0</v>
      </c>
      <c r="P237" s="18">
        <v>0</v>
      </c>
      <c r="Q237" s="18">
        <v>69.2</v>
      </c>
      <c r="R237" s="18">
        <v>69.2</v>
      </c>
    </row>
    <row r="238" spans="1:18" s="107" customFormat="1" ht="84" customHeight="1">
      <c r="A238" s="42"/>
      <c r="B238" s="430"/>
      <c r="C238" s="542" t="s">
        <v>962</v>
      </c>
      <c r="D238" s="548" t="s">
        <v>963</v>
      </c>
      <c r="E238" s="542" t="s">
        <v>964</v>
      </c>
      <c r="F238" s="542" t="s">
        <v>961</v>
      </c>
      <c r="G238" s="542" t="s">
        <v>951</v>
      </c>
      <c r="H238" s="548" t="s">
        <v>983</v>
      </c>
      <c r="I238" s="453" t="s">
        <v>1181</v>
      </c>
      <c r="J238" s="453" t="s">
        <v>67</v>
      </c>
      <c r="K238" s="411" t="s">
        <v>120</v>
      </c>
      <c r="L238" s="468" t="s">
        <v>22</v>
      </c>
      <c r="M238" s="468" t="s">
        <v>40</v>
      </c>
      <c r="N238" s="292">
        <v>0</v>
      </c>
      <c r="O238" s="292">
        <v>0</v>
      </c>
      <c r="P238" s="292">
        <f>2.83+97.17</f>
        <v>100</v>
      </c>
      <c r="Q238" s="292">
        <v>0</v>
      </c>
      <c r="R238" s="292">
        <v>0</v>
      </c>
    </row>
    <row r="239" spans="1:18" s="107" customFormat="1" ht="12" customHeight="1">
      <c r="A239" s="42"/>
      <c r="B239" s="530" t="s">
        <v>1508</v>
      </c>
      <c r="C239" s="542"/>
      <c r="D239" s="562"/>
      <c r="E239" s="542"/>
      <c r="F239" s="542"/>
      <c r="G239" s="542"/>
      <c r="H239" s="548"/>
      <c r="I239" s="574" t="s">
        <v>1507</v>
      </c>
      <c r="J239" s="574" t="s">
        <v>67</v>
      </c>
      <c r="K239" s="645" t="s">
        <v>1509</v>
      </c>
      <c r="L239" s="95" t="s">
        <v>22</v>
      </c>
      <c r="M239" s="95" t="s">
        <v>40</v>
      </c>
      <c r="N239" s="292">
        <v>0</v>
      </c>
      <c r="O239" s="292">
        <v>0</v>
      </c>
      <c r="P239" s="292">
        <v>52.161000000000001</v>
      </c>
      <c r="Q239" s="292">
        <v>0</v>
      </c>
      <c r="R239" s="292">
        <v>0</v>
      </c>
    </row>
    <row r="240" spans="1:18" s="107" customFormat="1" ht="24" customHeight="1">
      <c r="A240" s="42"/>
      <c r="B240" s="509" t="s">
        <v>1301</v>
      </c>
      <c r="C240" s="542"/>
      <c r="D240" s="465"/>
      <c r="E240" s="465"/>
      <c r="F240" s="542"/>
      <c r="G240" s="542"/>
      <c r="H240" s="548"/>
      <c r="I240" s="574"/>
      <c r="J240" s="574"/>
      <c r="K240" s="645"/>
      <c r="L240" s="95" t="s">
        <v>22</v>
      </c>
      <c r="M240" s="95" t="s">
        <v>40</v>
      </c>
      <c r="N240" s="292">
        <v>0</v>
      </c>
      <c r="O240" s="292">
        <v>0</v>
      </c>
      <c r="P240" s="292">
        <v>1.613</v>
      </c>
      <c r="Q240" s="292">
        <v>0</v>
      </c>
      <c r="R240" s="292">
        <v>0</v>
      </c>
    </row>
    <row r="241" spans="1:18" s="107" customFormat="1" ht="24" customHeight="1">
      <c r="A241" s="42"/>
      <c r="B241" s="509" t="s">
        <v>1302</v>
      </c>
      <c r="C241" s="444"/>
      <c r="D241" s="465"/>
      <c r="E241" s="465"/>
      <c r="F241" s="444"/>
      <c r="G241" s="444"/>
      <c r="H241" s="443"/>
      <c r="I241" s="574"/>
      <c r="J241" s="453"/>
      <c r="K241" s="460"/>
      <c r="L241" s="95" t="s">
        <v>22</v>
      </c>
      <c r="M241" s="95" t="s">
        <v>40</v>
      </c>
      <c r="N241" s="292">
        <v>0</v>
      </c>
      <c r="O241" s="292">
        <v>0</v>
      </c>
      <c r="P241" s="292">
        <v>117.80200000000001</v>
      </c>
      <c r="Q241" s="292">
        <v>0</v>
      </c>
      <c r="R241" s="292">
        <v>0</v>
      </c>
    </row>
    <row r="242" spans="1:18" s="108" customFormat="1" ht="51.75" customHeight="1">
      <c r="A242" s="34" t="s">
        <v>860</v>
      </c>
      <c r="B242" s="450">
        <v>1068</v>
      </c>
      <c r="C242" s="34" t="s">
        <v>30</v>
      </c>
      <c r="D242" s="34" t="s">
        <v>30</v>
      </c>
      <c r="E242" s="34" t="s">
        <v>30</v>
      </c>
      <c r="F242" s="34" t="s">
        <v>30</v>
      </c>
      <c r="G242" s="34" t="s">
        <v>30</v>
      </c>
      <c r="H242" s="34" t="s">
        <v>30</v>
      </c>
      <c r="I242" s="34" t="s">
        <v>30</v>
      </c>
      <c r="J242" s="34" t="s">
        <v>30</v>
      </c>
      <c r="K242" s="34" t="s">
        <v>30</v>
      </c>
      <c r="L242" s="477" t="s">
        <v>39</v>
      </c>
      <c r="M242" s="497" t="s">
        <v>31</v>
      </c>
      <c r="N242" s="72">
        <f>SUM(N244:N257)</f>
        <v>38822.28</v>
      </c>
      <c r="O242" s="72">
        <f t="shared" ref="O242:R242" si="30">SUM(O244:O257)</f>
        <v>38806.129499999995</v>
      </c>
      <c r="P242" s="72">
        <f t="shared" si="30"/>
        <v>41890.803</v>
      </c>
      <c r="Q242" s="72">
        <f t="shared" si="30"/>
        <v>8024.9000000000005</v>
      </c>
      <c r="R242" s="72">
        <f t="shared" si="30"/>
        <v>8083.05</v>
      </c>
    </row>
    <row r="243" spans="1:18" s="108" customFormat="1" ht="12">
      <c r="A243" s="34" t="s">
        <v>96</v>
      </c>
      <c r="B243" s="450"/>
      <c r="C243" s="34"/>
      <c r="D243" s="34"/>
      <c r="E243" s="34"/>
      <c r="F243" s="34"/>
      <c r="G243" s="34"/>
      <c r="H243" s="34"/>
      <c r="I243" s="34"/>
      <c r="J243" s="34"/>
      <c r="K243" s="34"/>
      <c r="L243" s="450"/>
      <c r="M243" s="358"/>
      <c r="N243" s="154"/>
      <c r="O243" s="154"/>
      <c r="P243" s="154"/>
      <c r="Q243" s="154"/>
      <c r="R243" s="154"/>
    </row>
    <row r="244" spans="1:18" s="108" customFormat="1" ht="60" customHeight="1">
      <c r="A244" s="34"/>
      <c r="B244" s="450"/>
      <c r="C244" s="472" t="s">
        <v>55</v>
      </c>
      <c r="D244" s="472" t="s">
        <v>789</v>
      </c>
      <c r="E244" s="472" t="s">
        <v>56</v>
      </c>
      <c r="F244" s="575" t="s">
        <v>794</v>
      </c>
      <c r="G244" s="472" t="s">
        <v>92</v>
      </c>
      <c r="H244" s="472" t="s">
        <v>793</v>
      </c>
      <c r="I244" s="472" t="s">
        <v>133</v>
      </c>
      <c r="J244" s="472" t="s">
        <v>67</v>
      </c>
      <c r="K244" s="20" t="s">
        <v>115</v>
      </c>
      <c r="L244" s="61"/>
      <c r="M244" s="150"/>
      <c r="N244" s="59">
        <f>11175.877+432.122/2+361.309+6112+255.845</f>
        <v>18121.092000000001</v>
      </c>
      <c r="O244" s="59">
        <f>11175.877+399.821/2+361.309+6112+255.845</f>
        <v>18104.941500000001</v>
      </c>
      <c r="P244" s="59">
        <f>9039.523+2831.332/2+4569/2+129.596+1224.004/2+7445.7+388.5/2+241.7+5.966/2</f>
        <v>21365.919999999998</v>
      </c>
      <c r="Q244" s="59">
        <f>7433.3+568.5/2+614.7/2</f>
        <v>8024.9000000000005</v>
      </c>
      <c r="R244" s="59">
        <f>7514.8+568.5/2+568/2</f>
        <v>8083.05</v>
      </c>
    </row>
    <row r="245" spans="1:18" s="108" customFormat="1" ht="72" customHeight="1">
      <c r="A245" s="52"/>
      <c r="B245" s="477"/>
      <c r="C245" s="510" t="s">
        <v>790</v>
      </c>
      <c r="D245" s="510" t="s">
        <v>791</v>
      </c>
      <c r="E245" s="305">
        <v>34716</v>
      </c>
      <c r="F245" s="576"/>
      <c r="G245" s="510"/>
      <c r="H245" s="510"/>
      <c r="I245" s="510" t="s">
        <v>456</v>
      </c>
      <c r="J245" s="510" t="s">
        <v>67</v>
      </c>
      <c r="K245" s="510" t="s">
        <v>115</v>
      </c>
      <c r="L245" s="477"/>
      <c r="M245" s="497"/>
      <c r="N245" s="44"/>
      <c r="O245" s="44"/>
      <c r="P245" s="44"/>
      <c r="Q245" s="44"/>
      <c r="R245" s="44"/>
    </row>
    <row r="246" spans="1:18" s="107" customFormat="1" ht="71.25" customHeight="1">
      <c r="A246" s="42"/>
      <c r="B246" s="430"/>
      <c r="C246" s="510"/>
      <c r="D246" s="510"/>
      <c r="E246" s="510"/>
      <c r="F246" s="510"/>
      <c r="G246" s="510"/>
      <c r="H246" s="510"/>
      <c r="I246" s="453" t="s">
        <v>430</v>
      </c>
      <c r="J246" s="453" t="s">
        <v>67</v>
      </c>
      <c r="K246" s="7" t="s">
        <v>431</v>
      </c>
      <c r="L246" s="430"/>
      <c r="M246" s="507"/>
      <c r="N246" s="44"/>
      <c r="O246" s="44"/>
      <c r="P246" s="44"/>
      <c r="Q246" s="44"/>
      <c r="R246" s="44"/>
    </row>
    <row r="247" spans="1:18" s="108" customFormat="1" ht="60">
      <c r="A247" s="52"/>
      <c r="B247" s="477"/>
      <c r="C247" s="510"/>
      <c r="D247" s="510"/>
      <c r="E247" s="510"/>
      <c r="F247" s="510"/>
      <c r="G247" s="510"/>
      <c r="H247" s="510"/>
      <c r="I247" s="510" t="s">
        <v>134</v>
      </c>
      <c r="J247" s="510" t="s">
        <v>67</v>
      </c>
      <c r="K247" s="337" t="s">
        <v>115</v>
      </c>
      <c r="L247" s="495"/>
      <c r="M247" s="141"/>
      <c r="N247" s="72"/>
      <c r="O247" s="72"/>
      <c r="P247" s="72"/>
      <c r="Q247" s="72"/>
      <c r="R247" s="72"/>
    </row>
    <row r="248" spans="1:18" s="108" customFormat="1" ht="108">
      <c r="A248" s="52"/>
      <c r="B248" s="477"/>
      <c r="C248" s="510"/>
      <c r="D248" s="510"/>
      <c r="E248" s="510"/>
      <c r="F248" s="510"/>
      <c r="G248" s="510"/>
      <c r="H248" s="510"/>
      <c r="I248" s="510" t="s">
        <v>135</v>
      </c>
      <c r="J248" s="510" t="s">
        <v>67</v>
      </c>
      <c r="K248" s="337" t="s">
        <v>115</v>
      </c>
      <c r="L248" s="495"/>
      <c r="M248" s="141"/>
      <c r="N248" s="72"/>
      <c r="O248" s="72"/>
      <c r="P248" s="72"/>
      <c r="Q248" s="72"/>
      <c r="R248" s="72"/>
    </row>
    <row r="249" spans="1:18" s="108" customFormat="1" ht="72">
      <c r="A249" s="52"/>
      <c r="B249" s="477"/>
      <c r="C249" s="510"/>
      <c r="D249" s="510"/>
      <c r="E249" s="510"/>
      <c r="F249" s="510"/>
      <c r="G249" s="510"/>
      <c r="H249" s="510"/>
      <c r="I249" s="510" t="s">
        <v>475</v>
      </c>
      <c r="J249" s="510" t="s">
        <v>67</v>
      </c>
      <c r="K249" s="337" t="s">
        <v>474</v>
      </c>
      <c r="L249" s="495"/>
      <c r="M249" s="141"/>
      <c r="N249" s="72"/>
      <c r="O249" s="72"/>
      <c r="P249" s="72"/>
      <c r="Q249" s="72"/>
      <c r="R249" s="72"/>
    </row>
    <row r="250" spans="1:18" s="108" customFormat="1" ht="47.25" customHeight="1">
      <c r="A250" s="52"/>
      <c r="B250" s="477"/>
      <c r="C250" s="510"/>
      <c r="D250" s="510"/>
      <c r="E250" s="510"/>
      <c r="F250" s="510"/>
      <c r="G250" s="510"/>
      <c r="H250" s="510"/>
      <c r="I250" s="510" t="s">
        <v>428</v>
      </c>
      <c r="J250" s="510" t="s">
        <v>67</v>
      </c>
      <c r="K250" s="337" t="s">
        <v>70</v>
      </c>
      <c r="L250" s="495"/>
      <c r="M250" s="141"/>
      <c r="N250" s="72"/>
      <c r="O250" s="72"/>
      <c r="P250" s="72"/>
      <c r="Q250" s="72"/>
      <c r="R250" s="72"/>
    </row>
    <row r="251" spans="1:18" s="107" customFormat="1" ht="61.5" customHeight="1">
      <c r="A251" s="51"/>
      <c r="B251" s="482" t="s">
        <v>451</v>
      </c>
      <c r="C251" s="496"/>
      <c r="D251" s="496"/>
      <c r="E251" s="496"/>
      <c r="F251" s="496"/>
      <c r="G251" s="496"/>
      <c r="H251" s="496"/>
      <c r="I251" s="496" t="s">
        <v>1480</v>
      </c>
      <c r="J251" s="496" t="s">
        <v>67</v>
      </c>
      <c r="K251" s="496" t="s">
        <v>1481</v>
      </c>
      <c r="L251" s="439"/>
      <c r="M251" s="439"/>
      <c r="N251" s="44">
        <v>100</v>
      </c>
      <c r="O251" s="44">
        <v>100</v>
      </c>
      <c r="P251" s="44">
        <v>103</v>
      </c>
      <c r="Q251" s="44">
        <v>0</v>
      </c>
      <c r="R251" s="44">
        <v>0</v>
      </c>
    </row>
    <row r="252" spans="1:18" s="107" customFormat="1" ht="31.5" customHeight="1">
      <c r="A252" s="42"/>
      <c r="B252" s="509" t="s">
        <v>1073</v>
      </c>
      <c r="C252" s="76"/>
      <c r="D252" s="76"/>
      <c r="E252" s="76"/>
      <c r="F252" s="560" t="s">
        <v>941</v>
      </c>
      <c r="G252" s="646" t="s">
        <v>954</v>
      </c>
      <c r="H252" s="571" t="s">
        <v>983</v>
      </c>
      <c r="I252" s="644" t="s">
        <v>1094</v>
      </c>
      <c r="J252" s="496" t="s">
        <v>1095</v>
      </c>
      <c r="K252" s="496" t="s">
        <v>1096</v>
      </c>
      <c r="L252" s="439"/>
      <c r="M252" s="135"/>
      <c r="N252" s="44">
        <v>46.195999999999998</v>
      </c>
      <c r="O252" s="44">
        <v>46.195999999999998</v>
      </c>
      <c r="P252" s="44">
        <v>0</v>
      </c>
      <c r="Q252" s="44">
        <v>0</v>
      </c>
      <c r="R252" s="44">
        <v>0</v>
      </c>
    </row>
    <row r="253" spans="1:18" s="107" customFormat="1" ht="29.25" customHeight="1">
      <c r="A253" s="42"/>
      <c r="B253" s="509" t="s">
        <v>558</v>
      </c>
      <c r="C253" s="76"/>
      <c r="D253" s="76"/>
      <c r="E253" s="76"/>
      <c r="F253" s="560"/>
      <c r="G253" s="646"/>
      <c r="H253" s="571"/>
      <c r="I253" s="644"/>
      <c r="J253" s="344"/>
      <c r="K253" s="345"/>
      <c r="L253" s="439"/>
      <c r="M253" s="135"/>
      <c r="N253" s="44">
        <v>42.173999999999999</v>
      </c>
      <c r="O253" s="44">
        <v>42.173999999999999</v>
      </c>
      <c r="P253" s="44">
        <v>0</v>
      </c>
      <c r="Q253" s="44">
        <v>0</v>
      </c>
      <c r="R253" s="44">
        <v>0</v>
      </c>
    </row>
    <row r="254" spans="1:18" s="107" customFormat="1" ht="12.75" customHeight="1">
      <c r="A254" s="42"/>
      <c r="B254" s="509"/>
      <c r="C254" s="76"/>
      <c r="D254" s="76"/>
      <c r="E254" s="76"/>
      <c r="F254" s="560"/>
      <c r="G254" s="646"/>
      <c r="H254" s="571"/>
      <c r="I254" s="459"/>
      <c r="J254" s="344"/>
      <c r="K254" s="345"/>
      <c r="L254" s="439"/>
      <c r="M254" s="135"/>
      <c r="N254" s="44">
        <v>6.218</v>
      </c>
      <c r="O254" s="44">
        <v>6.218</v>
      </c>
      <c r="P254" s="44">
        <v>0</v>
      </c>
      <c r="Q254" s="44">
        <v>0</v>
      </c>
      <c r="R254" s="44">
        <v>0</v>
      </c>
    </row>
    <row r="255" spans="1:18" s="107" customFormat="1" ht="86.25" customHeight="1">
      <c r="A255" s="42"/>
      <c r="B255" s="509" t="s">
        <v>132</v>
      </c>
      <c r="C255" s="76"/>
      <c r="D255" s="76"/>
      <c r="E255" s="76"/>
      <c r="F255" s="312" t="s">
        <v>941</v>
      </c>
      <c r="G255" s="312" t="s">
        <v>942</v>
      </c>
      <c r="H255" s="312" t="s">
        <v>81</v>
      </c>
      <c r="I255" s="444" t="s">
        <v>1037</v>
      </c>
      <c r="J255" s="444" t="s">
        <v>67</v>
      </c>
      <c r="K255" s="444" t="s">
        <v>916</v>
      </c>
      <c r="L255" s="439"/>
      <c r="M255" s="135"/>
      <c r="N255" s="44">
        <v>20406.599999999999</v>
      </c>
      <c r="O255" s="44">
        <v>20406.599999999999</v>
      </c>
      <c r="P255" s="44">
        <v>20301.400000000001</v>
      </c>
      <c r="Q255" s="44">
        <v>0</v>
      </c>
      <c r="R255" s="44">
        <v>0</v>
      </c>
    </row>
    <row r="256" spans="1:18" s="107" customFormat="1" ht="24">
      <c r="A256" s="51"/>
      <c r="B256" s="482" t="s">
        <v>1444</v>
      </c>
      <c r="C256" s="529"/>
      <c r="D256" s="529"/>
      <c r="E256" s="529"/>
      <c r="F256" s="461"/>
      <c r="G256" s="461"/>
      <c r="H256" s="461"/>
      <c r="I256" s="446"/>
      <c r="J256" s="446"/>
      <c r="K256" s="446"/>
      <c r="L256" s="482" t="s">
        <v>39</v>
      </c>
      <c r="M256" s="482" t="s">
        <v>31</v>
      </c>
      <c r="N256" s="44">
        <v>0</v>
      </c>
      <c r="O256" s="44">
        <v>0</v>
      </c>
      <c r="P256" s="44">
        <v>20.483000000000001</v>
      </c>
      <c r="Q256" s="44">
        <v>0</v>
      </c>
      <c r="R256" s="44">
        <v>0</v>
      </c>
    </row>
    <row r="257" spans="1:18" s="107" customFormat="1" ht="60.75" customHeight="1">
      <c r="A257" s="436"/>
      <c r="B257" s="482" t="s">
        <v>1071</v>
      </c>
      <c r="C257" s="51"/>
      <c r="D257" s="51"/>
      <c r="E257" s="51"/>
      <c r="F257" s="496"/>
      <c r="G257" s="496"/>
      <c r="H257" s="496"/>
      <c r="I257" s="496" t="s">
        <v>1094</v>
      </c>
      <c r="J257" s="496" t="s">
        <v>1095</v>
      </c>
      <c r="K257" s="496" t="s">
        <v>1096</v>
      </c>
      <c r="L257" s="482" t="s">
        <v>39</v>
      </c>
      <c r="M257" s="482" t="s">
        <v>31</v>
      </c>
      <c r="N257" s="44">
        <v>100</v>
      </c>
      <c r="O257" s="44">
        <v>100</v>
      </c>
      <c r="P257" s="44">
        <v>100</v>
      </c>
      <c r="Q257" s="44">
        <v>0</v>
      </c>
      <c r="R257" s="44">
        <v>0</v>
      </c>
    </row>
    <row r="258" spans="1:18" s="108" customFormat="1" ht="84" customHeight="1">
      <c r="A258" s="293" t="s">
        <v>1407</v>
      </c>
      <c r="B258" s="466" t="s">
        <v>1408</v>
      </c>
      <c r="C258" s="65"/>
      <c r="D258" s="65"/>
      <c r="E258" s="65"/>
      <c r="F258" s="423"/>
      <c r="G258" s="423"/>
      <c r="H258" s="423"/>
      <c r="I258" s="423" t="s">
        <v>899</v>
      </c>
      <c r="J258" s="423"/>
      <c r="K258" s="423"/>
      <c r="L258" s="466" t="s">
        <v>34</v>
      </c>
      <c r="M258" s="466" t="s">
        <v>40</v>
      </c>
      <c r="N258" s="93">
        <v>0</v>
      </c>
      <c r="O258" s="93">
        <v>0</v>
      </c>
      <c r="P258" s="93">
        <v>578.19000000000005</v>
      </c>
      <c r="Q258" s="93">
        <v>1757.5</v>
      </c>
      <c r="R258" s="93">
        <v>1588.8150000000001</v>
      </c>
    </row>
    <row r="259" spans="1:18" s="107" customFormat="1" ht="72" customHeight="1">
      <c r="A259" s="398" t="s">
        <v>1019</v>
      </c>
      <c r="B259" s="412" t="s">
        <v>1300</v>
      </c>
      <c r="C259" s="413"/>
      <c r="D259" s="413"/>
      <c r="E259" s="413"/>
      <c r="F259" s="414"/>
      <c r="G259" s="414"/>
      <c r="H259" s="414"/>
      <c r="I259" s="415" t="s">
        <v>90</v>
      </c>
      <c r="J259" s="416" t="s">
        <v>67</v>
      </c>
      <c r="K259" s="417" t="s">
        <v>70</v>
      </c>
      <c r="L259" s="412" t="s">
        <v>36</v>
      </c>
      <c r="M259" s="412" t="s">
        <v>34</v>
      </c>
      <c r="N259" s="418">
        <v>0</v>
      </c>
      <c r="O259" s="418">
        <v>0</v>
      </c>
      <c r="P259" s="418">
        <v>0</v>
      </c>
      <c r="Q259" s="419">
        <v>74</v>
      </c>
      <c r="R259" s="420">
        <v>90.7</v>
      </c>
    </row>
    <row r="260" spans="1:18" s="108" customFormat="1" ht="96">
      <c r="A260" s="34" t="s">
        <v>897</v>
      </c>
      <c r="B260" s="475" t="s">
        <v>898</v>
      </c>
      <c r="C260" s="349"/>
      <c r="D260" s="349"/>
      <c r="E260" s="349"/>
      <c r="F260" s="350"/>
      <c r="G260" s="350"/>
      <c r="H260" s="350"/>
      <c r="I260" s="455" t="s">
        <v>1128</v>
      </c>
      <c r="J260" s="455" t="s">
        <v>67</v>
      </c>
      <c r="K260" s="455" t="s">
        <v>1129</v>
      </c>
      <c r="L260" s="475" t="s">
        <v>36</v>
      </c>
      <c r="M260" s="475" t="s">
        <v>34</v>
      </c>
      <c r="N260" s="35">
        <f>1125+125</f>
        <v>1250</v>
      </c>
      <c r="O260" s="35">
        <f>1125+125</f>
        <v>1250</v>
      </c>
      <c r="P260" s="35">
        <v>0</v>
      </c>
      <c r="Q260" s="35">
        <v>0</v>
      </c>
      <c r="R260" s="158">
        <v>0</v>
      </c>
    </row>
    <row r="261" spans="1:18" s="108" customFormat="1" ht="60">
      <c r="A261" s="88"/>
      <c r="B261" s="476"/>
      <c r="C261" s="325"/>
      <c r="D261" s="325"/>
      <c r="E261" s="325"/>
      <c r="F261" s="326"/>
      <c r="G261" s="326"/>
      <c r="H261" s="326"/>
      <c r="I261" s="457" t="s">
        <v>1141</v>
      </c>
      <c r="J261" s="457" t="s">
        <v>67</v>
      </c>
      <c r="K261" s="457" t="s">
        <v>1146</v>
      </c>
      <c r="L261" s="476"/>
      <c r="M261" s="476"/>
      <c r="N261" s="89"/>
      <c r="O261" s="89"/>
      <c r="P261" s="89"/>
      <c r="Q261" s="384"/>
      <c r="R261" s="164"/>
    </row>
    <row r="262" spans="1:18" s="108" customFormat="1" ht="72">
      <c r="A262" s="34" t="s">
        <v>528</v>
      </c>
      <c r="B262" s="450" t="s">
        <v>45</v>
      </c>
      <c r="C262" s="450" t="s">
        <v>28</v>
      </c>
      <c r="D262" s="450" t="s">
        <v>28</v>
      </c>
      <c r="E262" s="450" t="s">
        <v>28</v>
      </c>
      <c r="F262" s="450" t="s">
        <v>28</v>
      </c>
      <c r="G262" s="450" t="s">
        <v>28</v>
      </c>
      <c r="H262" s="450" t="s">
        <v>28</v>
      </c>
      <c r="I262" s="450" t="s">
        <v>28</v>
      </c>
      <c r="J262" s="450" t="s">
        <v>28</v>
      </c>
      <c r="K262" s="450" t="s">
        <v>28</v>
      </c>
      <c r="L262" s="450"/>
      <c r="M262" s="358"/>
      <c r="N262" s="154">
        <f>N263+N264+N266+N267</f>
        <v>63603.600000000006</v>
      </c>
      <c r="O262" s="154">
        <f>O263+O264+O266+O267</f>
        <v>63603.600000000006</v>
      </c>
      <c r="P262" s="154">
        <f t="shared" ref="P262:R262" si="31">P263+P264+P266+P267</f>
        <v>66044.7</v>
      </c>
      <c r="Q262" s="154">
        <f t="shared" si="31"/>
        <v>66075.5</v>
      </c>
      <c r="R262" s="154">
        <f t="shared" si="31"/>
        <v>66307.199999999997</v>
      </c>
    </row>
    <row r="263" spans="1:18" s="108" customFormat="1" ht="73.5" customHeight="1">
      <c r="A263" s="34" t="s">
        <v>672</v>
      </c>
      <c r="B263" s="450">
        <v>1118</v>
      </c>
      <c r="C263" s="432" t="s">
        <v>55</v>
      </c>
      <c r="D263" s="432" t="s">
        <v>535</v>
      </c>
      <c r="E263" s="432" t="s">
        <v>56</v>
      </c>
      <c r="F263" s="432" t="s">
        <v>794</v>
      </c>
      <c r="G263" s="432" t="s">
        <v>792</v>
      </c>
      <c r="H263" s="432" t="s">
        <v>793</v>
      </c>
      <c r="I263" s="432" t="s">
        <v>955</v>
      </c>
      <c r="J263" s="432" t="s">
        <v>67</v>
      </c>
      <c r="K263" s="432" t="s">
        <v>115</v>
      </c>
      <c r="L263" s="475" t="s">
        <v>39</v>
      </c>
      <c r="M263" s="151" t="s">
        <v>31</v>
      </c>
      <c r="N263" s="154">
        <v>15708.3</v>
      </c>
      <c r="O263" s="154">
        <v>15708.3</v>
      </c>
      <c r="P263" s="154">
        <f>14805.3+800</f>
        <v>15605.3</v>
      </c>
      <c r="Q263" s="154">
        <f>14805.3+800</f>
        <v>15605.3</v>
      </c>
      <c r="R263" s="154">
        <f>14805.3+800</f>
        <v>15605.3</v>
      </c>
    </row>
    <row r="264" spans="1:18" s="108" customFormat="1" ht="48.75" customHeight="1">
      <c r="A264" s="34" t="s">
        <v>673</v>
      </c>
      <c r="B264" s="450">
        <v>1119</v>
      </c>
      <c r="C264" s="432" t="s">
        <v>55</v>
      </c>
      <c r="D264" s="432" t="s">
        <v>795</v>
      </c>
      <c r="E264" s="432" t="s">
        <v>56</v>
      </c>
      <c r="F264" s="432"/>
      <c r="G264" s="432"/>
      <c r="H264" s="432"/>
      <c r="I264" s="432" t="s">
        <v>956</v>
      </c>
      <c r="J264" s="432" t="s">
        <v>67</v>
      </c>
      <c r="K264" s="432" t="s">
        <v>534</v>
      </c>
      <c r="L264" s="475" t="s">
        <v>39</v>
      </c>
      <c r="M264" s="475" t="s">
        <v>31</v>
      </c>
      <c r="N264" s="35">
        <f>6090.8+2192.4+4413.8+7815.6+3732.7+23650</f>
        <v>47895.3</v>
      </c>
      <c r="O264" s="35">
        <f>6090.8+2192.4+4413.8+7815.6+3732.7+23650</f>
        <v>47895.3</v>
      </c>
      <c r="P264" s="35">
        <f>7185.1+2276.6+4623.2+8183.9+4052.5+24118.1</f>
        <v>50439.4</v>
      </c>
      <c r="Q264" s="383">
        <f>7213.9+2227.5+4740.6+8115.3+4054.8+24118.1</f>
        <v>50470.2</v>
      </c>
      <c r="R264" s="158">
        <f>7305.4+2227.5+4768.3+8158.1+4124.5+24118.1</f>
        <v>50701.9</v>
      </c>
    </row>
    <row r="265" spans="1:18" s="108" customFormat="1" ht="60">
      <c r="A265" s="88"/>
      <c r="B265" s="451"/>
      <c r="C265" s="433"/>
      <c r="D265" s="433"/>
      <c r="E265" s="433"/>
      <c r="F265" s="433"/>
      <c r="G265" s="433"/>
      <c r="H265" s="433"/>
      <c r="I265" s="433" t="s">
        <v>145</v>
      </c>
      <c r="J265" s="433" t="s">
        <v>67</v>
      </c>
      <c r="K265" s="433" t="s">
        <v>534</v>
      </c>
      <c r="L265" s="476"/>
      <c r="M265" s="476"/>
      <c r="N265" s="89"/>
      <c r="O265" s="89"/>
      <c r="P265" s="89"/>
      <c r="Q265" s="384"/>
      <c r="R265" s="164"/>
    </row>
    <row r="266" spans="1:18" s="108" customFormat="1" ht="60" hidden="1">
      <c r="A266" s="34" t="s">
        <v>599</v>
      </c>
      <c r="B266" s="450">
        <v>1148</v>
      </c>
      <c r="C266" s="534" t="s">
        <v>55</v>
      </c>
      <c r="D266" s="534" t="s">
        <v>536</v>
      </c>
      <c r="E266" s="534" t="s">
        <v>56</v>
      </c>
      <c r="F266" s="534"/>
      <c r="G266" s="534"/>
      <c r="H266" s="534"/>
      <c r="I266" s="534" t="s">
        <v>133</v>
      </c>
      <c r="J266" s="534" t="s">
        <v>67</v>
      </c>
      <c r="K266" s="534" t="s">
        <v>115</v>
      </c>
      <c r="L266" s="475" t="s">
        <v>31</v>
      </c>
      <c r="M266" s="151" t="s">
        <v>32</v>
      </c>
      <c r="N266" s="154">
        <v>0</v>
      </c>
      <c r="O266" s="154"/>
      <c r="P266" s="154">
        <v>0</v>
      </c>
      <c r="Q266" s="154"/>
      <c r="R266" s="154">
        <v>0</v>
      </c>
    </row>
    <row r="267" spans="1:18" s="108" customFormat="1" ht="60" hidden="1">
      <c r="A267" s="34" t="s">
        <v>600</v>
      </c>
      <c r="B267" s="450">
        <v>1149</v>
      </c>
      <c r="C267" s="535"/>
      <c r="D267" s="535"/>
      <c r="E267" s="535"/>
      <c r="F267" s="535"/>
      <c r="G267" s="535"/>
      <c r="H267" s="535"/>
      <c r="I267" s="535"/>
      <c r="J267" s="535"/>
      <c r="K267" s="535"/>
      <c r="L267" s="475" t="s">
        <v>31</v>
      </c>
      <c r="M267" s="151" t="s">
        <v>32</v>
      </c>
      <c r="N267" s="154">
        <v>0</v>
      </c>
      <c r="O267" s="154"/>
      <c r="P267" s="154">
        <v>0</v>
      </c>
      <c r="Q267" s="154"/>
      <c r="R267" s="154">
        <v>0</v>
      </c>
    </row>
    <row r="268" spans="1:18" s="108" customFormat="1" ht="144.75" customHeight="1">
      <c r="A268" s="34" t="s">
        <v>529</v>
      </c>
      <c r="B268" s="450">
        <v>1200</v>
      </c>
      <c r="C268" s="450" t="s">
        <v>28</v>
      </c>
      <c r="D268" s="450" t="s">
        <v>28</v>
      </c>
      <c r="E268" s="450" t="s">
        <v>28</v>
      </c>
      <c r="F268" s="450" t="s">
        <v>28</v>
      </c>
      <c r="G268" s="450" t="s">
        <v>28</v>
      </c>
      <c r="H268" s="450" t="s">
        <v>28</v>
      </c>
      <c r="I268" s="450" t="s">
        <v>28</v>
      </c>
      <c r="J268" s="450" t="s">
        <v>28</v>
      </c>
      <c r="K268" s="450" t="s">
        <v>28</v>
      </c>
      <c r="L268" s="450"/>
      <c r="M268" s="358"/>
      <c r="N268" s="154">
        <f>N269+N278+N285+N286+N288+N289+N295+N296+N299+N300+N301+N312+N314</f>
        <v>140085.99800000002</v>
      </c>
      <c r="O268" s="154">
        <f>O269+O278+O285+O286+O288+O289+O295+O296+O299+O300+O301+O312+O314</f>
        <v>136972.50899999999</v>
      </c>
      <c r="P268" s="154">
        <f>P269+P278+P285+P286+P288+P289+P295+P299+P300+P301+P312+P313+P314</f>
        <v>131285.09000000003</v>
      </c>
      <c r="Q268" s="154">
        <f>Q269+Q278+Q285+Q286+Q288+Q289+Q295+Q299+Q300+Q301+Q312+Q313+Q314</f>
        <v>138738.10800000001</v>
      </c>
      <c r="R268" s="154">
        <f>R269+R278+R285+R286+R288+R289+R295+R299+R300+R301+R312+R313+R314</f>
        <v>143297.508</v>
      </c>
    </row>
    <row r="269" spans="1:18" s="108" customFormat="1" ht="60">
      <c r="A269" s="34" t="s">
        <v>601</v>
      </c>
      <c r="B269" s="450">
        <v>1201</v>
      </c>
      <c r="C269" s="450"/>
      <c r="D269" s="450"/>
      <c r="E269" s="450"/>
      <c r="F269" s="450"/>
      <c r="G269" s="450"/>
      <c r="H269" s="450"/>
      <c r="I269" s="450"/>
      <c r="J269" s="450"/>
      <c r="K269" s="450"/>
      <c r="L269" s="450"/>
      <c r="M269" s="358"/>
      <c r="N269" s="154">
        <f t="shared" ref="N269:R269" si="32">SUM(N271:N277)</f>
        <v>42548.873</v>
      </c>
      <c r="O269" s="154">
        <f t="shared" si="32"/>
        <v>40160.163999999997</v>
      </c>
      <c r="P269" s="154">
        <f t="shared" si="32"/>
        <v>40212.806000000004</v>
      </c>
      <c r="Q269" s="154">
        <f t="shared" si="32"/>
        <v>38635.073999999993</v>
      </c>
      <c r="R269" s="154">
        <f t="shared" si="32"/>
        <v>36396.874000000003</v>
      </c>
    </row>
    <row r="270" spans="1:18" s="108" customFormat="1" ht="12">
      <c r="A270" s="34" t="s">
        <v>96</v>
      </c>
      <c r="B270" s="450"/>
      <c r="C270" s="450"/>
      <c r="D270" s="450"/>
      <c r="E270" s="450"/>
      <c r="F270" s="450"/>
      <c r="G270" s="450"/>
      <c r="H270" s="450"/>
      <c r="I270" s="450"/>
      <c r="J270" s="450"/>
      <c r="K270" s="450"/>
      <c r="L270" s="450"/>
      <c r="M270" s="358"/>
      <c r="N270" s="154"/>
      <c r="O270" s="154"/>
      <c r="P270" s="154"/>
      <c r="Q270" s="154"/>
      <c r="R270" s="154"/>
    </row>
    <row r="271" spans="1:18" s="107" customFormat="1" ht="24" customHeight="1">
      <c r="A271" s="49"/>
      <c r="B271" s="432"/>
      <c r="C271" s="532" t="s">
        <v>60</v>
      </c>
      <c r="D271" s="532" t="s">
        <v>136</v>
      </c>
      <c r="E271" s="572" t="s">
        <v>61</v>
      </c>
      <c r="F271" s="532" t="s">
        <v>350</v>
      </c>
      <c r="G271" s="532" t="s">
        <v>137</v>
      </c>
      <c r="H271" s="532" t="s">
        <v>62</v>
      </c>
      <c r="I271" s="532" t="s">
        <v>138</v>
      </c>
      <c r="J271" s="532" t="s">
        <v>139</v>
      </c>
      <c r="K271" s="532" t="s">
        <v>140</v>
      </c>
      <c r="L271" s="43" t="s">
        <v>31</v>
      </c>
      <c r="M271" s="134" t="s">
        <v>35</v>
      </c>
      <c r="N271" s="59">
        <v>546.77099999999996</v>
      </c>
      <c r="O271" s="59">
        <v>546.77200000000005</v>
      </c>
      <c r="P271" s="59">
        <v>571.6</v>
      </c>
      <c r="Q271" s="59">
        <v>571.6</v>
      </c>
      <c r="R271" s="59">
        <v>571.6</v>
      </c>
    </row>
    <row r="272" spans="1:18" s="107" customFormat="1" ht="24" customHeight="1">
      <c r="A272" s="42"/>
      <c r="B272" s="430"/>
      <c r="C272" s="544"/>
      <c r="D272" s="544"/>
      <c r="E272" s="573"/>
      <c r="F272" s="544"/>
      <c r="G272" s="544"/>
      <c r="H272" s="544"/>
      <c r="I272" s="544"/>
      <c r="J272" s="544"/>
      <c r="K272" s="544"/>
      <c r="L272" s="439" t="s">
        <v>31</v>
      </c>
      <c r="M272" s="135" t="s">
        <v>40</v>
      </c>
      <c r="N272" s="44">
        <f>1138.89+150+371.214</f>
        <v>1660.104</v>
      </c>
      <c r="O272" s="44">
        <f>976.385+144.576+371.214</f>
        <v>1492.175</v>
      </c>
      <c r="P272" s="44">
        <v>895.1</v>
      </c>
      <c r="Q272" s="44">
        <v>896.6</v>
      </c>
      <c r="R272" s="44">
        <v>898.2</v>
      </c>
    </row>
    <row r="273" spans="1:18" s="107" customFormat="1" ht="60" customHeight="1">
      <c r="A273" s="42"/>
      <c r="B273" s="430"/>
      <c r="C273" s="446" t="s">
        <v>55</v>
      </c>
      <c r="D273" s="446" t="s">
        <v>749</v>
      </c>
      <c r="E273" s="464" t="s">
        <v>142</v>
      </c>
      <c r="F273" s="446"/>
      <c r="G273" s="446"/>
      <c r="H273" s="446"/>
      <c r="I273" s="446" t="s">
        <v>750</v>
      </c>
      <c r="J273" s="446" t="s">
        <v>751</v>
      </c>
      <c r="K273" s="446" t="s">
        <v>59</v>
      </c>
      <c r="L273" s="439" t="s">
        <v>31</v>
      </c>
      <c r="M273" s="135" t="s">
        <v>36</v>
      </c>
      <c r="N273" s="44">
        <f>24685.75+242.773</f>
        <v>24928.523000000001</v>
      </c>
      <c r="O273" s="44">
        <f>22959.898+242.773</f>
        <v>23202.671000000002</v>
      </c>
      <c r="P273" s="44">
        <f>72.6+874.028+22834.146</f>
        <v>23780.774000000001</v>
      </c>
      <c r="Q273" s="44">
        <f>754.028+22876.446</f>
        <v>23630.473999999998</v>
      </c>
      <c r="R273" s="44">
        <f>754.028+22937.346</f>
        <v>23691.374</v>
      </c>
    </row>
    <row r="274" spans="1:18" s="107" customFormat="1" ht="12.75" customHeight="1">
      <c r="A274" s="42"/>
      <c r="B274" s="430"/>
      <c r="C274" s="446" t="s">
        <v>732</v>
      </c>
      <c r="D274" s="446" t="s">
        <v>733</v>
      </c>
      <c r="E274" s="464" t="s">
        <v>734</v>
      </c>
      <c r="F274" s="446"/>
      <c r="G274" s="446"/>
      <c r="H274" s="446"/>
      <c r="I274" s="446"/>
      <c r="J274" s="446"/>
      <c r="K274" s="446"/>
      <c r="L274" s="482" t="s">
        <v>31</v>
      </c>
      <c r="M274" s="144" t="s">
        <v>32</v>
      </c>
      <c r="N274" s="44">
        <f>5796.734+278.057</f>
        <v>6074.7910000000002</v>
      </c>
      <c r="O274" s="44">
        <f>5680.514+275.364</f>
        <v>5955.8779999999997</v>
      </c>
      <c r="P274" s="44">
        <f>5730.17+259.7</f>
        <v>5989.87</v>
      </c>
      <c r="Q274" s="44">
        <f>5639.7+259.7</f>
        <v>5899.4</v>
      </c>
      <c r="R274" s="44">
        <f>3325.7+259.7</f>
        <v>3585.3999999999996</v>
      </c>
    </row>
    <row r="275" spans="1:18" s="107" customFormat="1" ht="84">
      <c r="A275" s="42"/>
      <c r="B275" s="430"/>
      <c r="C275" s="444" t="s">
        <v>767</v>
      </c>
      <c r="D275" s="444" t="s">
        <v>768</v>
      </c>
      <c r="E275" s="453" t="s">
        <v>222</v>
      </c>
      <c r="F275" s="444"/>
      <c r="G275" s="444"/>
      <c r="H275" s="444"/>
      <c r="I275" s="444" t="s">
        <v>468</v>
      </c>
      <c r="J275" s="444" t="s">
        <v>143</v>
      </c>
      <c r="K275" s="444" t="s">
        <v>144</v>
      </c>
      <c r="L275" s="430" t="s">
        <v>42</v>
      </c>
      <c r="M275" s="430" t="s">
        <v>37</v>
      </c>
      <c r="N275" s="50">
        <v>5881.2139999999999</v>
      </c>
      <c r="O275" s="50">
        <v>5775.3410000000003</v>
      </c>
      <c r="P275" s="50">
        <v>5833.8320000000003</v>
      </c>
      <c r="Q275" s="50">
        <v>4492.7</v>
      </c>
      <c r="R275" s="50">
        <v>4502.3999999999996</v>
      </c>
    </row>
    <row r="276" spans="1:18" s="107" customFormat="1" ht="72">
      <c r="A276" s="42"/>
      <c r="B276" s="430"/>
      <c r="C276" s="444"/>
      <c r="D276" s="444"/>
      <c r="E276" s="444"/>
      <c r="F276" s="444"/>
      <c r="G276" s="444"/>
      <c r="H276" s="444"/>
      <c r="I276" s="444" t="s">
        <v>957</v>
      </c>
      <c r="J276" s="453" t="s">
        <v>67</v>
      </c>
      <c r="K276" s="7" t="s">
        <v>115</v>
      </c>
      <c r="L276" s="430" t="s">
        <v>39</v>
      </c>
      <c r="M276" s="430" t="s">
        <v>36</v>
      </c>
      <c r="N276" s="50">
        <v>3454.5839999999998</v>
      </c>
      <c r="O276" s="50">
        <v>3184.4409999999998</v>
      </c>
      <c r="P276" s="50">
        <v>3140.3</v>
      </c>
      <c r="Q276" s="50">
        <v>3143.7</v>
      </c>
      <c r="R276" s="50">
        <v>3147.3</v>
      </c>
    </row>
    <row r="277" spans="1:18" s="107" customFormat="1" ht="12">
      <c r="A277" s="45"/>
      <c r="B277" s="433"/>
      <c r="C277" s="474"/>
      <c r="D277" s="474"/>
      <c r="E277" s="474"/>
      <c r="F277" s="474"/>
      <c r="G277" s="474"/>
      <c r="H277" s="474"/>
      <c r="I277" s="474"/>
      <c r="J277" s="332"/>
      <c r="K277" s="179"/>
      <c r="L277" s="433">
        <v>10</v>
      </c>
      <c r="M277" s="430" t="s">
        <v>36</v>
      </c>
      <c r="N277" s="55">
        <v>2.8860000000000001</v>
      </c>
      <c r="O277" s="55">
        <v>2.8860000000000001</v>
      </c>
      <c r="P277" s="55">
        <v>1.33</v>
      </c>
      <c r="Q277" s="55">
        <v>0.6</v>
      </c>
      <c r="R277" s="55">
        <v>0.6</v>
      </c>
    </row>
    <row r="278" spans="1:18" s="108" customFormat="1" ht="60">
      <c r="A278" s="36" t="s">
        <v>602</v>
      </c>
      <c r="B278" s="37">
        <v>1202</v>
      </c>
      <c r="C278" s="215"/>
      <c r="D278" s="215"/>
      <c r="E278" s="215"/>
      <c r="F278" s="215"/>
      <c r="G278" s="215"/>
      <c r="H278" s="215"/>
      <c r="I278" s="215"/>
      <c r="J278" s="216"/>
      <c r="K278" s="217"/>
      <c r="L278" s="37"/>
      <c r="M278" s="450"/>
      <c r="N278" s="35">
        <f>SUM(N279:N284)</f>
        <v>72854.699000000008</v>
      </c>
      <c r="O278" s="35">
        <f>SUM(O279:O284)</f>
        <v>72513.873999999996</v>
      </c>
      <c r="P278" s="35">
        <f t="shared" ref="P278:R278" si="33">SUM(P279:P284)</f>
        <v>67738.899999999994</v>
      </c>
      <c r="Q278" s="35">
        <f t="shared" si="33"/>
        <v>68743</v>
      </c>
      <c r="R278" s="35">
        <f t="shared" si="33"/>
        <v>60855.200000000004</v>
      </c>
    </row>
    <row r="279" spans="1:18" s="107" customFormat="1" ht="156">
      <c r="A279" s="49"/>
      <c r="B279" s="432"/>
      <c r="C279" s="448" t="s">
        <v>60</v>
      </c>
      <c r="D279" s="448" t="s">
        <v>136</v>
      </c>
      <c r="E279" s="499" t="s">
        <v>61</v>
      </c>
      <c r="F279" s="448" t="s">
        <v>350</v>
      </c>
      <c r="G279" s="448" t="s">
        <v>137</v>
      </c>
      <c r="H279" s="448" t="s">
        <v>62</v>
      </c>
      <c r="I279" s="448" t="s">
        <v>1200</v>
      </c>
      <c r="J279" s="448" t="s">
        <v>67</v>
      </c>
      <c r="K279" s="448" t="s">
        <v>509</v>
      </c>
      <c r="L279" s="146" t="s">
        <v>31</v>
      </c>
      <c r="M279" s="95" t="s">
        <v>35</v>
      </c>
      <c r="N279" s="99">
        <v>2394.6999999999998</v>
      </c>
      <c r="O279" s="99">
        <v>2391.73</v>
      </c>
      <c r="P279" s="99">
        <v>1893</v>
      </c>
      <c r="Q279" s="99">
        <v>1893</v>
      </c>
      <c r="R279" s="99">
        <v>1893</v>
      </c>
    </row>
    <row r="280" spans="1:18" s="107" customFormat="1" ht="72">
      <c r="A280" s="42"/>
      <c r="B280" s="430"/>
      <c r="C280" s="444" t="s">
        <v>55</v>
      </c>
      <c r="D280" s="444" t="s">
        <v>141</v>
      </c>
      <c r="E280" s="443" t="s">
        <v>142</v>
      </c>
      <c r="F280" s="170"/>
      <c r="G280" s="170"/>
      <c r="H280" s="170"/>
      <c r="I280" s="462" t="s">
        <v>66</v>
      </c>
      <c r="J280" s="444" t="s">
        <v>67</v>
      </c>
      <c r="K280" s="444" t="s">
        <v>65</v>
      </c>
      <c r="L280" s="146" t="s">
        <v>31</v>
      </c>
      <c r="M280" s="95" t="s">
        <v>40</v>
      </c>
      <c r="N280" s="99">
        <v>1266.8720000000001</v>
      </c>
      <c r="O280" s="99">
        <v>1266.8720000000001</v>
      </c>
      <c r="P280" s="99">
        <v>0</v>
      </c>
      <c r="Q280" s="99">
        <v>0</v>
      </c>
      <c r="R280" s="99">
        <v>0</v>
      </c>
    </row>
    <row r="281" spans="1:18" s="107" customFormat="1" ht="108">
      <c r="A281" s="42"/>
      <c r="B281" s="430"/>
      <c r="C281" s="444" t="s">
        <v>732</v>
      </c>
      <c r="D281" s="444" t="s">
        <v>733</v>
      </c>
      <c r="E281" s="443" t="s">
        <v>734</v>
      </c>
      <c r="F281" s="444"/>
      <c r="G281" s="444"/>
      <c r="H281" s="444"/>
      <c r="I281" s="462" t="s">
        <v>138</v>
      </c>
      <c r="J281" s="444" t="s">
        <v>139</v>
      </c>
      <c r="K281" s="444" t="s">
        <v>140</v>
      </c>
      <c r="L281" s="146" t="s">
        <v>31</v>
      </c>
      <c r="M281" s="95" t="s">
        <v>36</v>
      </c>
      <c r="N281" s="99">
        <v>32908.947</v>
      </c>
      <c r="O281" s="99">
        <v>32820.737000000001</v>
      </c>
      <c r="P281" s="99">
        <v>30629.4</v>
      </c>
      <c r="Q281" s="99">
        <v>30574.400000000001</v>
      </c>
      <c r="R281" s="99">
        <v>30574.400000000001</v>
      </c>
    </row>
    <row r="282" spans="1:18" s="107" customFormat="1" ht="14.25" customHeight="1">
      <c r="A282" s="42"/>
      <c r="B282" s="430"/>
      <c r="C282" s="444" t="s">
        <v>352</v>
      </c>
      <c r="D282" s="444" t="s">
        <v>752</v>
      </c>
      <c r="E282" s="444" t="s">
        <v>63</v>
      </c>
      <c r="F282" s="444" t="s">
        <v>738</v>
      </c>
      <c r="G282" s="444" t="s">
        <v>753</v>
      </c>
      <c r="H282" s="444" t="s">
        <v>64</v>
      </c>
      <c r="I282" s="470"/>
      <c r="J282" s="238"/>
      <c r="K282" s="14"/>
      <c r="L282" s="146" t="s">
        <v>31</v>
      </c>
      <c r="M282" s="95" t="s">
        <v>32</v>
      </c>
      <c r="N282" s="99">
        <f>14443.548+929.341</f>
        <v>15372.889000000001</v>
      </c>
      <c r="O282" s="99">
        <f>14385.105+921.607</f>
        <v>15306.712</v>
      </c>
      <c r="P282" s="99">
        <f>14556.5+860.1</f>
        <v>15416.6</v>
      </c>
      <c r="Q282" s="99">
        <f>14546.9+860.1</f>
        <v>15407</v>
      </c>
      <c r="R282" s="99">
        <f>6659.1+860.1</f>
        <v>7519.2000000000007</v>
      </c>
    </row>
    <row r="283" spans="1:18" s="107" customFormat="1" ht="84">
      <c r="A283" s="42"/>
      <c r="B283" s="430"/>
      <c r="C283" s="446" t="s">
        <v>767</v>
      </c>
      <c r="D283" s="446" t="s">
        <v>768</v>
      </c>
      <c r="E283" s="484" t="s">
        <v>222</v>
      </c>
      <c r="F283" s="444"/>
      <c r="G283" s="444"/>
      <c r="H283" s="444"/>
      <c r="I283" s="446" t="s">
        <v>958</v>
      </c>
      <c r="J283" s="446" t="s">
        <v>143</v>
      </c>
      <c r="K283" s="446" t="s">
        <v>144</v>
      </c>
      <c r="L283" s="146" t="s">
        <v>42</v>
      </c>
      <c r="M283" s="95" t="s">
        <v>37</v>
      </c>
      <c r="N283" s="99">
        <v>13227.5</v>
      </c>
      <c r="O283" s="99">
        <v>13080.950999999999</v>
      </c>
      <c r="P283" s="99">
        <v>12494.9</v>
      </c>
      <c r="Q283" s="99">
        <v>13563.6</v>
      </c>
      <c r="R283" s="99">
        <v>13563.6</v>
      </c>
    </row>
    <row r="284" spans="1:18" s="107" customFormat="1" ht="12">
      <c r="A284" s="45"/>
      <c r="B284" s="433"/>
      <c r="C284" s="474"/>
      <c r="D284" s="474"/>
      <c r="E284" s="474"/>
      <c r="F284" s="474"/>
      <c r="G284" s="474"/>
      <c r="H284" s="474"/>
      <c r="I284" s="444"/>
      <c r="J284" s="453"/>
      <c r="K284" s="7"/>
      <c r="L284" s="146" t="s">
        <v>39</v>
      </c>
      <c r="M284" s="95" t="s">
        <v>36</v>
      </c>
      <c r="N284" s="99">
        <v>7683.7910000000002</v>
      </c>
      <c r="O284" s="99">
        <v>7646.8720000000003</v>
      </c>
      <c r="P284" s="99">
        <v>7305</v>
      </c>
      <c r="Q284" s="99">
        <v>7305</v>
      </c>
      <c r="R284" s="99">
        <v>7305</v>
      </c>
    </row>
    <row r="285" spans="1:18" s="108" customFormat="1" ht="72" hidden="1">
      <c r="A285" s="34" t="s">
        <v>603</v>
      </c>
      <c r="B285" s="450">
        <v>1203</v>
      </c>
      <c r="C285" s="218"/>
      <c r="D285" s="218"/>
      <c r="E285" s="218"/>
      <c r="F285" s="218"/>
      <c r="G285" s="218"/>
      <c r="H285" s="218"/>
      <c r="I285" s="218"/>
      <c r="J285" s="219"/>
      <c r="K285" s="220"/>
      <c r="L285" s="467"/>
      <c r="M285" s="467"/>
      <c r="N285" s="93"/>
      <c r="O285" s="93"/>
      <c r="P285" s="93"/>
      <c r="Q285" s="93"/>
      <c r="R285" s="93"/>
    </row>
    <row r="286" spans="1:18" s="108" customFormat="1" ht="59.25" customHeight="1">
      <c r="A286" s="553" t="s">
        <v>604</v>
      </c>
      <c r="B286" s="557">
        <v>1204</v>
      </c>
      <c r="C286" s="448" t="s">
        <v>55</v>
      </c>
      <c r="D286" s="448" t="s">
        <v>356</v>
      </c>
      <c r="E286" s="499" t="s">
        <v>142</v>
      </c>
      <c r="F286" s="34" t="s">
        <v>30</v>
      </c>
      <c r="G286" s="34" t="s">
        <v>30</v>
      </c>
      <c r="H286" s="34" t="s">
        <v>30</v>
      </c>
      <c r="I286" s="432" t="s">
        <v>360</v>
      </c>
      <c r="J286" s="49" t="s">
        <v>67</v>
      </c>
      <c r="K286" s="190" t="s">
        <v>361</v>
      </c>
      <c r="L286" s="486" t="s">
        <v>25</v>
      </c>
      <c r="M286" s="497" t="s">
        <v>31</v>
      </c>
      <c r="N286" s="72">
        <v>284.89999999999998</v>
      </c>
      <c r="O286" s="72">
        <v>284.41500000000002</v>
      </c>
      <c r="P286" s="72">
        <v>70</v>
      </c>
      <c r="Q286" s="72">
        <v>0</v>
      </c>
      <c r="R286" s="72">
        <v>0</v>
      </c>
    </row>
    <row r="287" spans="1:18" s="108" customFormat="1" ht="48" customHeight="1">
      <c r="A287" s="555"/>
      <c r="B287" s="558"/>
      <c r="C287" s="474"/>
      <c r="D287" s="474"/>
      <c r="E287" s="500"/>
      <c r="F287" s="88"/>
      <c r="G287" s="88"/>
      <c r="H287" s="88"/>
      <c r="I287" s="433" t="s">
        <v>362</v>
      </c>
      <c r="J287" s="45" t="s">
        <v>67</v>
      </c>
      <c r="K287" s="433" t="s">
        <v>363</v>
      </c>
      <c r="L287" s="451"/>
      <c r="M287" s="152"/>
      <c r="N287" s="63"/>
      <c r="O287" s="63"/>
      <c r="P287" s="63"/>
      <c r="Q287" s="385"/>
      <c r="R287" s="64"/>
    </row>
    <row r="288" spans="1:18" s="108" customFormat="1" ht="72" customHeight="1">
      <c r="A288" s="34" t="s">
        <v>605</v>
      </c>
      <c r="B288" s="450">
        <v>1206</v>
      </c>
      <c r="C288" s="22" t="s">
        <v>55</v>
      </c>
      <c r="D288" s="22" t="s">
        <v>355</v>
      </c>
      <c r="E288" s="22" t="s">
        <v>56</v>
      </c>
      <c r="F288" s="22"/>
      <c r="G288" s="22"/>
      <c r="H288" s="22"/>
      <c r="I288" s="22" t="s">
        <v>510</v>
      </c>
      <c r="J288" s="22" t="s">
        <v>67</v>
      </c>
      <c r="K288" s="260" t="s">
        <v>59</v>
      </c>
      <c r="L288" s="221" t="s">
        <v>31</v>
      </c>
      <c r="M288" s="222" t="s">
        <v>36</v>
      </c>
      <c r="N288" s="309">
        <v>910</v>
      </c>
      <c r="O288" s="309">
        <v>910</v>
      </c>
      <c r="P288" s="309">
        <v>910</v>
      </c>
      <c r="Q288" s="309">
        <v>910</v>
      </c>
      <c r="R288" s="309">
        <v>910</v>
      </c>
    </row>
    <row r="289" spans="1:18" s="108" customFormat="1" ht="108" customHeight="1">
      <c r="A289" s="34" t="s">
        <v>606</v>
      </c>
      <c r="B289" s="450">
        <v>1208</v>
      </c>
      <c r="C289" s="34" t="s">
        <v>30</v>
      </c>
      <c r="D289" s="34" t="s">
        <v>30</v>
      </c>
      <c r="E289" s="34" t="s">
        <v>30</v>
      </c>
      <c r="F289" s="34" t="s">
        <v>30</v>
      </c>
      <c r="G289" s="34" t="s">
        <v>30</v>
      </c>
      <c r="H289" s="34" t="s">
        <v>30</v>
      </c>
      <c r="I289" s="34" t="s">
        <v>30</v>
      </c>
      <c r="J289" s="34" t="s">
        <v>30</v>
      </c>
      <c r="K289" s="34" t="s">
        <v>30</v>
      </c>
      <c r="L289" s="450" t="s">
        <v>31</v>
      </c>
      <c r="M289" s="358" t="s">
        <v>25</v>
      </c>
      <c r="N289" s="154">
        <f>SUM(N291:N294)</f>
        <v>12272.498</v>
      </c>
      <c r="O289" s="154">
        <f>SUM(O291:O294)</f>
        <v>12169.284</v>
      </c>
      <c r="P289" s="154">
        <f t="shared" ref="P289:R289" si="34">SUM(P291:P294)</f>
        <v>11346.349999999999</v>
      </c>
      <c r="Q289" s="154">
        <f t="shared" si="34"/>
        <v>8471.2999999999993</v>
      </c>
      <c r="R289" s="154">
        <f t="shared" si="34"/>
        <v>8525.2000000000007</v>
      </c>
    </row>
    <row r="290" spans="1:18" s="107" customFormat="1" ht="12">
      <c r="A290" s="49" t="s">
        <v>96</v>
      </c>
      <c r="B290" s="432"/>
      <c r="C290" s="49"/>
      <c r="D290" s="49"/>
      <c r="E290" s="49"/>
      <c r="F290" s="49"/>
      <c r="G290" s="49"/>
      <c r="H290" s="49"/>
      <c r="I290" s="49"/>
      <c r="J290" s="49"/>
      <c r="K290" s="49"/>
      <c r="L290" s="432"/>
      <c r="M290" s="506"/>
      <c r="N290" s="59"/>
      <c r="O290" s="59"/>
      <c r="P290" s="59"/>
      <c r="Q290" s="59"/>
      <c r="R290" s="59"/>
    </row>
    <row r="291" spans="1:18" s="107" customFormat="1" ht="50.25" customHeight="1">
      <c r="A291" s="49"/>
      <c r="B291" s="432"/>
      <c r="C291" s="261" t="s">
        <v>55</v>
      </c>
      <c r="D291" s="261" t="s">
        <v>146</v>
      </c>
      <c r="E291" s="483" t="s">
        <v>56</v>
      </c>
      <c r="F291" s="431"/>
      <c r="G291" s="431"/>
      <c r="H291" s="431"/>
      <c r="I291" s="431" t="s">
        <v>147</v>
      </c>
      <c r="J291" s="431" t="s">
        <v>148</v>
      </c>
      <c r="K291" s="431" t="s">
        <v>149</v>
      </c>
      <c r="L291" s="43"/>
      <c r="M291" s="134"/>
      <c r="N291" s="59">
        <f>3043.978+9228.52</f>
        <v>12272.498</v>
      </c>
      <c r="O291" s="59">
        <f>2941.299+9227.985</f>
        <v>12169.284</v>
      </c>
      <c r="P291" s="59">
        <f>2823.8+8522.55</f>
        <v>11346.349999999999</v>
      </c>
      <c r="Q291" s="59">
        <f>0+8471.3</f>
        <v>8471.2999999999993</v>
      </c>
      <c r="R291" s="59">
        <f>8525.2</f>
        <v>8525.2000000000007</v>
      </c>
    </row>
    <row r="292" spans="1:18" s="107" customFormat="1" ht="94.5" customHeight="1">
      <c r="A292" s="42"/>
      <c r="B292" s="430"/>
      <c r="C292" s="444" t="s">
        <v>352</v>
      </c>
      <c r="D292" s="444" t="s">
        <v>111</v>
      </c>
      <c r="E292" s="470" t="s">
        <v>63</v>
      </c>
      <c r="F292" s="446" t="s">
        <v>351</v>
      </c>
      <c r="G292" s="446" t="s">
        <v>748</v>
      </c>
      <c r="H292" s="446" t="s">
        <v>64</v>
      </c>
      <c r="I292" s="21"/>
      <c r="J292" s="21"/>
      <c r="K292" s="21"/>
      <c r="L292" s="439"/>
      <c r="M292" s="135"/>
      <c r="N292" s="44"/>
      <c r="O292" s="44"/>
      <c r="P292" s="44"/>
      <c r="Q292" s="44"/>
      <c r="R292" s="44"/>
    </row>
    <row r="293" spans="1:18" s="107" customFormat="1" ht="66" customHeight="1">
      <c r="A293" s="42"/>
      <c r="B293" s="430"/>
      <c r="C293" s="542" t="s">
        <v>150</v>
      </c>
      <c r="D293" s="542" t="s">
        <v>151</v>
      </c>
      <c r="E293" s="548" t="s">
        <v>152</v>
      </c>
      <c r="F293" s="542" t="s">
        <v>153</v>
      </c>
      <c r="G293" s="444" t="s">
        <v>154</v>
      </c>
      <c r="H293" s="444" t="s">
        <v>155</v>
      </c>
      <c r="I293" s="444" t="s">
        <v>156</v>
      </c>
      <c r="J293" s="444" t="s">
        <v>67</v>
      </c>
      <c r="K293" s="444" t="s">
        <v>157</v>
      </c>
      <c r="L293" s="430"/>
      <c r="M293" s="507"/>
      <c r="N293" s="44"/>
      <c r="O293" s="44"/>
      <c r="P293" s="44"/>
      <c r="Q293" s="44"/>
      <c r="R293" s="44"/>
    </row>
    <row r="294" spans="1:18" s="107" customFormat="1" ht="50.25" customHeight="1">
      <c r="A294" s="42"/>
      <c r="B294" s="430"/>
      <c r="C294" s="542"/>
      <c r="D294" s="542"/>
      <c r="E294" s="548"/>
      <c r="F294" s="542"/>
      <c r="G294" s="444"/>
      <c r="H294" s="444"/>
      <c r="I294" s="444"/>
      <c r="J294" s="444"/>
      <c r="K294" s="444"/>
      <c r="L294" s="430"/>
      <c r="M294" s="507"/>
      <c r="N294" s="44"/>
      <c r="O294" s="44"/>
      <c r="P294" s="44"/>
      <c r="Q294" s="44"/>
      <c r="R294" s="44"/>
    </row>
    <row r="295" spans="1:18" s="108" customFormat="1" ht="84" customHeight="1">
      <c r="A295" s="553" t="s">
        <v>607</v>
      </c>
      <c r="B295" s="223">
        <v>1213</v>
      </c>
      <c r="C295" s="492" t="s">
        <v>353</v>
      </c>
      <c r="D295" s="492" t="s">
        <v>158</v>
      </c>
      <c r="E295" s="492" t="s">
        <v>159</v>
      </c>
      <c r="F295" s="492" t="s">
        <v>354</v>
      </c>
      <c r="G295" s="492" t="s">
        <v>160</v>
      </c>
      <c r="H295" s="492" t="s">
        <v>161</v>
      </c>
      <c r="I295" s="492" t="s">
        <v>1109</v>
      </c>
      <c r="J295" s="492" t="s">
        <v>148</v>
      </c>
      <c r="K295" s="492" t="s">
        <v>62</v>
      </c>
      <c r="L295" s="61" t="s">
        <v>31</v>
      </c>
      <c r="M295" s="61" t="s">
        <v>42</v>
      </c>
      <c r="N295" s="154">
        <v>3040.1439999999998</v>
      </c>
      <c r="O295" s="154">
        <v>3040.1439999999998</v>
      </c>
      <c r="P295" s="154">
        <v>0</v>
      </c>
      <c r="Q295" s="154">
        <v>0</v>
      </c>
      <c r="R295" s="154">
        <v>0</v>
      </c>
    </row>
    <row r="296" spans="1:18" s="108" customFormat="1" ht="96">
      <c r="A296" s="554"/>
      <c r="B296" s="245"/>
      <c r="C296" s="493" t="s">
        <v>162</v>
      </c>
      <c r="D296" s="493" t="s">
        <v>163</v>
      </c>
      <c r="E296" s="493" t="s">
        <v>164</v>
      </c>
      <c r="F296" s="493" t="s">
        <v>165</v>
      </c>
      <c r="G296" s="493" t="s">
        <v>166</v>
      </c>
      <c r="H296" s="493" t="s">
        <v>167</v>
      </c>
      <c r="I296" s="493" t="s">
        <v>1091</v>
      </c>
      <c r="J296" s="239" t="s">
        <v>67</v>
      </c>
      <c r="K296" s="493" t="s">
        <v>1092</v>
      </c>
      <c r="L296" s="495" t="s">
        <v>31</v>
      </c>
      <c r="M296" s="495">
        <v>13</v>
      </c>
      <c r="N296" s="72">
        <v>203.67099999999999</v>
      </c>
      <c r="O296" s="72">
        <v>203.67099999999999</v>
      </c>
      <c r="P296" s="72">
        <v>0</v>
      </c>
      <c r="Q296" s="72">
        <v>0</v>
      </c>
      <c r="R296" s="72">
        <v>0</v>
      </c>
    </row>
    <row r="297" spans="1:18" s="108" customFormat="1" ht="60">
      <c r="A297" s="554"/>
      <c r="B297" s="245"/>
      <c r="C297" s="493" t="s">
        <v>55</v>
      </c>
      <c r="D297" s="493" t="s">
        <v>168</v>
      </c>
      <c r="E297" s="493" t="s">
        <v>56</v>
      </c>
      <c r="F297" s="493" t="s">
        <v>169</v>
      </c>
      <c r="G297" s="493" t="s">
        <v>170</v>
      </c>
      <c r="H297" s="493" t="s">
        <v>171</v>
      </c>
      <c r="I297" s="239"/>
      <c r="J297" s="239"/>
      <c r="K297" s="239"/>
      <c r="L297" s="495"/>
      <c r="M297" s="141"/>
      <c r="N297" s="72"/>
      <c r="O297" s="72"/>
      <c r="P297" s="72"/>
      <c r="Q297" s="72"/>
      <c r="R297" s="72"/>
    </row>
    <row r="298" spans="1:18" s="108" customFormat="1" ht="72">
      <c r="A298" s="555"/>
      <c r="B298" s="246"/>
      <c r="C298" s="262" t="s">
        <v>172</v>
      </c>
      <c r="D298" s="262" t="s">
        <v>173</v>
      </c>
      <c r="E298" s="262" t="s">
        <v>174</v>
      </c>
      <c r="F298" s="169"/>
      <c r="G298" s="169"/>
      <c r="H298" s="169"/>
      <c r="I298" s="240"/>
      <c r="J298" s="240"/>
      <c r="K298" s="240"/>
      <c r="L298" s="62"/>
      <c r="M298" s="142"/>
      <c r="N298" s="63"/>
      <c r="O298" s="63"/>
      <c r="P298" s="63"/>
      <c r="Q298" s="385"/>
      <c r="R298" s="63"/>
    </row>
    <row r="299" spans="1:18" s="108" customFormat="1" ht="61.5" customHeight="1">
      <c r="A299" s="553" t="s">
        <v>877</v>
      </c>
      <c r="B299" s="450">
        <v>1219</v>
      </c>
      <c r="C299" s="448" t="s">
        <v>55</v>
      </c>
      <c r="D299" s="448" t="s">
        <v>175</v>
      </c>
      <c r="E299" s="499" t="s">
        <v>142</v>
      </c>
      <c r="F299" s="448" t="s">
        <v>57</v>
      </c>
      <c r="G299" s="448" t="s">
        <v>58</v>
      </c>
      <c r="H299" s="448" t="s">
        <v>62</v>
      </c>
      <c r="I299" s="448" t="s">
        <v>176</v>
      </c>
      <c r="J299" s="448" t="s">
        <v>177</v>
      </c>
      <c r="K299" s="448" t="s">
        <v>59</v>
      </c>
      <c r="L299" s="475" t="s">
        <v>42</v>
      </c>
      <c r="M299" s="151" t="s">
        <v>34</v>
      </c>
      <c r="N299" s="154">
        <f>4562.738-4115.848</f>
        <v>446.89000000000033</v>
      </c>
      <c r="O299" s="154">
        <f>4357.4-3928.71</f>
        <v>428.6899999999996</v>
      </c>
      <c r="P299" s="154">
        <v>345.6</v>
      </c>
      <c r="Q299" s="154">
        <v>186.2</v>
      </c>
      <c r="R299" s="154">
        <v>194.2</v>
      </c>
    </row>
    <row r="300" spans="1:18" s="108" customFormat="1" ht="144">
      <c r="A300" s="555"/>
      <c r="B300" s="476" t="s">
        <v>841</v>
      </c>
      <c r="C300" s="474"/>
      <c r="D300" s="474"/>
      <c r="E300" s="500"/>
      <c r="F300" s="474"/>
      <c r="G300" s="474"/>
      <c r="H300" s="474"/>
      <c r="I300" s="484" t="s">
        <v>1127</v>
      </c>
      <c r="J300" s="484" t="s">
        <v>67</v>
      </c>
      <c r="K300" s="485" t="s">
        <v>1126</v>
      </c>
      <c r="L300" s="475" t="s">
        <v>42</v>
      </c>
      <c r="M300" s="151" t="s">
        <v>34</v>
      </c>
      <c r="N300" s="154">
        <v>4115.848</v>
      </c>
      <c r="O300" s="154">
        <v>3928.71</v>
      </c>
      <c r="P300" s="154">
        <v>0</v>
      </c>
      <c r="Q300" s="154">
        <v>0</v>
      </c>
      <c r="R300" s="154">
        <v>0</v>
      </c>
    </row>
    <row r="301" spans="1:18" s="108" customFormat="1" ht="21" customHeight="1">
      <c r="A301" s="557" t="s">
        <v>608</v>
      </c>
      <c r="B301" s="557">
        <v>1221</v>
      </c>
      <c r="C301" s="545" t="s">
        <v>735</v>
      </c>
      <c r="D301" s="545" t="s">
        <v>736</v>
      </c>
      <c r="E301" s="547" t="s">
        <v>737</v>
      </c>
      <c r="F301" s="545" t="s">
        <v>738</v>
      </c>
      <c r="G301" s="545" t="s">
        <v>739</v>
      </c>
      <c r="H301" s="547" t="s">
        <v>64</v>
      </c>
      <c r="I301" s="545" t="s">
        <v>560</v>
      </c>
      <c r="J301" s="545" t="s">
        <v>67</v>
      </c>
      <c r="K301" s="545" t="s">
        <v>68</v>
      </c>
      <c r="L301" s="421"/>
      <c r="M301" s="165"/>
      <c r="N301" s="206">
        <f>SUM(N302:N310)</f>
        <v>3284.2819999999997</v>
      </c>
      <c r="O301" s="206">
        <f>SUM(O302:O310)</f>
        <v>3221.3639999999991</v>
      </c>
      <c r="P301" s="206">
        <f>SUM(P302:P311)</f>
        <v>9684.9</v>
      </c>
      <c r="Q301" s="206">
        <f t="shared" ref="Q301:R301" si="35">SUM(Q302:Q311)</f>
        <v>8438.7000000000007</v>
      </c>
      <c r="R301" s="206">
        <f t="shared" si="35"/>
        <v>9658.8999999999978</v>
      </c>
    </row>
    <row r="302" spans="1:18" s="107" customFormat="1" ht="21" customHeight="1">
      <c r="A302" s="597"/>
      <c r="B302" s="597"/>
      <c r="C302" s="542"/>
      <c r="D302" s="542"/>
      <c r="E302" s="548"/>
      <c r="F302" s="542"/>
      <c r="G302" s="542"/>
      <c r="H302" s="548"/>
      <c r="I302" s="542"/>
      <c r="J302" s="542"/>
      <c r="K302" s="542"/>
      <c r="L302" s="225" t="s">
        <v>31</v>
      </c>
      <c r="M302" s="198" t="s">
        <v>36</v>
      </c>
      <c r="N302" s="207">
        <v>120.371</v>
      </c>
      <c r="O302" s="207">
        <v>120.371</v>
      </c>
      <c r="P302" s="207">
        <v>966</v>
      </c>
      <c r="Q302" s="207">
        <v>966</v>
      </c>
      <c r="R302" s="207">
        <v>966</v>
      </c>
    </row>
    <row r="303" spans="1:18" s="107" customFormat="1" ht="21" customHeight="1">
      <c r="A303" s="597"/>
      <c r="B303" s="597"/>
      <c r="C303" s="542"/>
      <c r="D303" s="542"/>
      <c r="E303" s="548"/>
      <c r="F303" s="542"/>
      <c r="G303" s="542"/>
      <c r="H303" s="548"/>
      <c r="I303" s="542"/>
      <c r="J303" s="542"/>
      <c r="K303" s="542"/>
      <c r="L303" s="225" t="s">
        <v>31</v>
      </c>
      <c r="M303" s="198" t="s">
        <v>32</v>
      </c>
      <c r="N303" s="207">
        <v>86.926000000000002</v>
      </c>
      <c r="O303" s="207">
        <v>86.926000000000002</v>
      </c>
      <c r="P303" s="207">
        <v>975</v>
      </c>
      <c r="Q303" s="207">
        <v>105</v>
      </c>
      <c r="R303" s="207">
        <v>1030</v>
      </c>
    </row>
    <row r="304" spans="1:18" s="107" customFormat="1" ht="21" customHeight="1">
      <c r="A304" s="597"/>
      <c r="B304" s="597"/>
      <c r="C304" s="542"/>
      <c r="D304" s="542"/>
      <c r="E304" s="548"/>
      <c r="F304" s="542"/>
      <c r="G304" s="542"/>
      <c r="H304" s="548"/>
      <c r="I304" s="542"/>
      <c r="J304" s="542"/>
      <c r="K304" s="542"/>
      <c r="L304" s="225" t="s">
        <v>31</v>
      </c>
      <c r="M304" s="198" t="s">
        <v>25</v>
      </c>
      <c r="N304" s="207">
        <f>70.314+25.307</f>
        <v>95.620999999999995</v>
      </c>
      <c r="O304" s="207">
        <f>70.314+25.307</f>
        <v>95.620999999999995</v>
      </c>
      <c r="P304" s="207">
        <f>160+200</f>
        <v>360</v>
      </c>
      <c r="Q304" s="207">
        <f>160+44</f>
        <v>204</v>
      </c>
      <c r="R304" s="207">
        <f>160+176</f>
        <v>336</v>
      </c>
    </row>
    <row r="305" spans="1:18" s="107" customFormat="1" ht="21" customHeight="1">
      <c r="A305" s="597"/>
      <c r="B305" s="597"/>
      <c r="C305" s="542"/>
      <c r="D305" s="542"/>
      <c r="E305" s="548"/>
      <c r="F305" s="542"/>
      <c r="G305" s="542"/>
      <c r="H305" s="548"/>
      <c r="I305" s="542"/>
      <c r="J305" s="542"/>
      <c r="K305" s="542"/>
      <c r="L305" s="225" t="s">
        <v>42</v>
      </c>
      <c r="M305" s="198" t="s">
        <v>31</v>
      </c>
      <c r="N305" s="207">
        <v>679.49300000000005</v>
      </c>
      <c r="O305" s="207">
        <v>656.62900000000002</v>
      </c>
      <c r="P305" s="207">
        <v>1375.2</v>
      </c>
      <c r="Q305" s="207">
        <v>1375.2</v>
      </c>
      <c r="R305" s="207">
        <v>1375.2</v>
      </c>
    </row>
    <row r="306" spans="1:18" s="107" customFormat="1" ht="21" customHeight="1">
      <c r="A306" s="597"/>
      <c r="B306" s="597"/>
      <c r="C306" s="542"/>
      <c r="D306" s="542"/>
      <c r="E306" s="548"/>
      <c r="F306" s="542"/>
      <c r="G306" s="542"/>
      <c r="H306" s="548"/>
      <c r="I306" s="542"/>
      <c r="J306" s="542"/>
      <c r="K306" s="542"/>
      <c r="L306" s="225" t="s">
        <v>42</v>
      </c>
      <c r="M306" s="198" t="s">
        <v>35</v>
      </c>
      <c r="N306" s="207">
        <v>1749.376</v>
      </c>
      <c r="O306" s="207">
        <v>1729.3219999999999</v>
      </c>
      <c r="P306" s="207">
        <v>3724.8</v>
      </c>
      <c r="Q306" s="207">
        <v>3724.8</v>
      </c>
      <c r="R306" s="207">
        <v>3724.8</v>
      </c>
    </row>
    <row r="307" spans="1:18" s="107" customFormat="1" ht="21" customHeight="1">
      <c r="A307" s="597"/>
      <c r="B307" s="597"/>
      <c r="C307" s="542"/>
      <c r="D307" s="542"/>
      <c r="E307" s="548"/>
      <c r="F307" s="542"/>
      <c r="G307" s="542"/>
      <c r="H307" s="548"/>
      <c r="I307" s="542"/>
      <c r="J307" s="542"/>
      <c r="K307" s="542"/>
      <c r="L307" s="225" t="s">
        <v>42</v>
      </c>
      <c r="M307" s="198" t="s">
        <v>40</v>
      </c>
      <c r="N307" s="207">
        <v>246.714</v>
      </c>
      <c r="O307" s="207">
        <v>226.714</v>
      </c>
      <c r="P307" s="207">
        <v>662.3</v>
      </c>
      <c r="Q307" s="207">
        <v>662.3</v>
      </c>
      <c r="R307" s="207">
        <v>662.3</v>
      </c>
    </row>
    <row r="308" spans="1:18" s="107" customFormat="1" ht="21" customHeight="1">
      <c r="A308" s="597"/>
      <c r="B308" s="597"/>
      <c r="C308" s="542"/>
      <c r="D308" s="542"/>
      <c r="E308" s="548"/>
      <c r="F308" s="542"/>
      <c r="G308" s="542"/>
      <c r="H308" s="548"/>
      <c r="I308" s="542"/>
      <c r="J308" s="542"/>
      <c r="K308" s="542"/>
      <c r="L308" s="225" t="s">
        <v>42</v>
      </c>
      <c r="M308" s="198" t="s">
        <v>37</v>
      </c>
      <c r="N308" s="207">
        <v>34.575000000000003</v>
      </c>
      <c r="O308" s="207">
        <v>34.575000000000003</v>
      </c>
      <c r="P308" s="207">
        <v>250</v>
      </c>
      <c r="Q308" s="207">
        <v>250</v>
      </c>
      <c r="R308" s="207">
        <v>250</v>
      </c>
    </row>
    <row r="309" spans="1:18" s="107" customFormat="1" ht="32.25" customHeight="1">
      <c r="A309" s="597"/>
      <c r="B309" s="597"/>
      <c r="C309" s="542"/>
      <c r="D309" s="542"/>
      <c r="E309" s="548"/>
      <c r="F309" s="542"/>
      <c r="G309" s="542"/>
      <c r="H309" s="548"/>
      <c r="I309" s="542" t="s">
        <v>769</v>
      </c>
      <c r="J309" s="542" t="s">
        <v>67</v>
      </c>
      <c r="K309" s="542" t="s">
        <v>115</v>
      </c>
      <c r="L309" s="225" t="s">
        <v>39</v>
      </c>
      <c r="M309" s="198" t="s">
        <v>31</v>
      </c>
      <c r="N309" s="207">
        <v>235.02600000000001</v>
      </c>
      <c r="O309" s="207">
        <v>235.02600000000001</v>
      </c>
      <c r="P309" s="207">
        <v>945</v>
      </c>
      <c r="Q309" s="207">
        <v>919.3</v>
      </c>
      <c r="R309" s="207">
        <v>919.3</v>
      </c>
    </row>
    <row r="310" spans="1:18" s="107" customFormat="1" ht="32.25" customHeight="1">
      <c r="A310" s="597"/>
      <c r="B310" s="597"/>
      <c r="C310" s="542"/>
      <c r="D310" s="542"/>
      <c r="E310" s="548"/>
      <c r="F310" s="542"/>
      <c r="G310" s="542"/>
      <c r="H310" s="548"/>
      <c r="I310" s="542"/>
      <c r="J310" s="542"/>
      <c r="K310" s="542"/>
      <c r="L310" s="71" t="s">
        <v>39</v>
      </c>
      <c r="M310" s="508" t="s">
        <v>36</v>
      </c>
      <c r="N310" s="18">
        <v>36.18</v>
      </c>
      <c r="O310" s="18">
        <v>36.18</v>
      </c>
      <c r="P310" s="18">
        <v>377.6</v>
      </c>
      <c r="Q310" s="18">
        <v>183.1</v>
      </c>
      <c r="R310" s="18">
        <v>346.3</v>
      </c>
    </row>
    <row r="311" spans="1:18" s="107" customFormat="1" ht="32.25" customHeight="1">
      <c r="A311" s="658"/>
      <c r="B311" s="658"/>
      <c r="C311" s="546"/>
      <c r="D311" s="546"/>
      <c r="E311" s="549"/>
      <c r="F311" s="546"/>
      <c r="G311" s="546"/>
      <c r="H311" s="549"/>
      <c r="I311" s="546"/>
      <c r="J311" s="546"/>
      <c r="K311" s="546"/>
      <c r="L311" s="133" t="s">
        <v>23</v>
      </c>
      <c r="M311" s="95" t="s">
        <v>31</v>
      </c>
      <c r="N311" s="99">
        <v>0</v>
      </c>
      <c r="O311" s="99">
        <v>0</v>
      </c>
      <c r="P311" s="99">
        <v>49</v>
      </c>
      <c r="Q311" s="99">
        <v>49</v>
      </c>
      <c r="R311" s="99">
        <v>49</v>
      </c>
    </row>
    <row r="312" spans="1:18" s="108" customFormat="1" ht="60">
      <c r="A312" s="52" t="s">
        <v>609</v>
      </c>
      <c r="B312" s="477">
        <v>1222</v>
      </c>
      <c r="C312" s="470" t="s">
        <v>55</v>
      </c>
      <c r="D312" s="446" t="s">
        <v>356</v>
      </c>
      <c r="E312" s="464" t="s">
        <v>142</v>
      </c>
      <c r="F312" s="52" t="s">
        <v>30</v>
      </c>
      <c r="G312" s="52" t="s">
        <v>30</v>
      </c>
      <c r="H312" s="52" t="s">
        <v>30</v>
      </c>
      <c r="I312" s="440" t="s">
        <v>409</v>
      </c>
      <c r="J312" s="440" t="s">
        <v>67</v>
      </c>
      <c r="K312" s="440" t="s">
        <v>178</v>
      </c>
      <c r="L312" s="477" t="s">
        <v>31</v>
      </c>
      <c r="M312" s="497" t="s">
        <v>23</v>
      </c>
      <c r="N312" s="72">
        <v>0</v>
      </c>
      <c r="O312" s="72">
        <v>0</v>
      </c>
      <c r="P312" s="72">
        <v>834.5</v>
      </c>
      <c r="Q312" s="72">
        <v>0</v>
      </c>
      <c r="R312" s="72">
        <v>0</v>
      </c>
    </row>
    <row r="313" spans="1:18" s="108" customFormat="1" ht="72">
      <c r="A313" s="52"/>
      <c r="B313" s="451"/>
      <c r="C313" s="474"/>
      <c r="D313" s="474"/>
      <c r="E313" s="500"/>
      <c r="F313" s="88"/>
      <c r="G313" s="88"/>
      <c r="H313" s="88"/>
      <c r="I313" s="105" t="s">
        <v>552</v>
      </c>
      <c r="J313" s="105" t="s">
        <v>67</v>
      </c>
      <c r="K313" s="128" t="s">
        <v>178</v>
      </c>
      <c r="L313" s="477" t="s">
        <v>31</v>
      </c>
      <c r="M313" s="497">
        <v>13</v>
      </c>
      <c r="N313" s="89">
        <v>0</v>
      </c>
      <c r="O313" s="89">
        <v>0</v>
      </c>
      <c r="P313" s="89">
        <v>0</v>
      </c>
      <c r="Q313" s="89">
        <v>13211.8</v>
      </c>
      <c r="R313" s="89">
        <v>26615.1</v>
      </c>
    </row>
    <row r="314" spans="1:18" s="108" customFormat="1" ht="48">
      <c r="A314" s="36" t="s">
        <v>1020</v>
      </c>
      <c r="B314" s="37">
        <v>1226</v>
      </c>
      <c r="C314" s="23"/>
      <c r="D314" s="23"/>
      <c r="E314" s="23"/>
      <c r="F314" s="23"/>
      <c r="G314" s="23"/>
      <c r="H314" s="23"/>
      <c r="I314" s="23"/>
      <c r="J314" s="23"/>
      <c r="K314" s="23"/>
      <c r="L314" s="37" t="s">
        <v>31</v>
      </c>
      <c r="M314" s="37" t="s">
        <v>25</v>
      </c>
      <c r="N314" s="206">
        <f t="shared" ref="N314:R314" si="36">SUM(N316:N318)</f>
        <v>124.193</v>
      </c>
      <c r="O314" s="206">
        <f t="shared" si="36"/>
        <v>112.193</v>
      </c>
      <c r="P314" s="206">
        <f t="shared" si="36"/>
        <v>142.03399999999999</v>
      </c>
      <c r="Q314" s="206">
        <f t="shared" si="36"/>
        <v>142.03399999999999</v>
      </c>
      <c r="R314" s="206">
        <f t="shared" si="36"/>
        <v>142.03399999999999</v>
      </c>
    </row>
    <row r="315" spans="1:18" s="108" customFormat="1" ht="12">
      <c r="A315" s="36" t="s">
        <v>96</v>
      </c>
      <c r="B315" s="37"/>
      <c r="C315" s="23"/>
      <c r="D315" s="23"/>
      <c r="E315" s="23"/>
      <c r="F315" s="23"/>
      <c r="G315" s="23"/>
      <c r="H315" s="23"/>
      <c r="I315" s="23"/>
      <c r="J315" s="23"/>
      <c r="K315" s="23"/>
      <c r="L315" s="450"/>
      <c r="M315" s="450"/>
      <c r="N315" s="35"/>
      <c r="O315" s="35"/>
      <c r="P315" s="35"/>
      <c r="Q315" s="383"/>
      <c r="R315" s="158"/>
    </row>
    <row r="316" spans="1:18" s="108" customFormat="1" ht="36" customHeight="1">
      <c r="A316" s="34"/>
      <c r="B316" s="450"/>
      <c r="C316" s="448" t="s">
        <v>55</v>
      </c>
      <c r="D316" s="448" t="s">
        <v>193</v>
      </c>
      <c r="E316" s="448" t="s">
        <v>56</v>
      </c>
      <c r="F316" s="448"/>
      <c r="G316" s="448"/>
      <c r="H316" s="448"/>
      <c r="I316" s="448" t="s">
        <v>454</v>
      </c>
      <c r="J316" s="448" t="s">
        <v>194</v>
      </c>
      <c r="K316" s="448" t="s">
        <v>117</v>
      </c>
      <c r="L316" s="450"/>
      <c r="M316" s="450"/>
      <c r="N316" s="18">
        <v>109.193</v>
      </c>
      <c r="O316" s="18">
        <v>109.193</v>
      </c>
      <c r="P316" s="18">
        <v>127.03400000000001</v>
      </c>
      <c r="Q316" s="18">
        <v>127.03400000000001</v>
      </c>
      <c r="R316" s="18">
        <v>127.03400000000001</v>
      </c>
    </row>
    <row r="317" spans="1:18" s="108" customFormat="1" ht="40.5" hidden="1" customHeight="1">
      <c r="A317" s="52"/>
      <c r="B317" s="477"/>
      <c r="C317" s="444"/>
      <c r="D317" s="444"/>
      <c r="E317" s="444"/>
      <c r="F317" s="444"/>
      <c r="G317" s="444"/>
      <c r="H317" s="444"/>
      <c r="I317" s="444" t="s">
        <v>195</v>
      </c>
      <c r="J317" s="444" t="s">
        <v>196</v>
      </c>
      <c r="K317" s="444" t="s">
        <v>197</v>
      </c>
      <c r="L317" s="477"/>
      <c r="M317" s="477"/>
      <c r="N317" s="50">
        <v>0</v>
      </c>
      <c r="O317" s="50">
        <v>0</v>
      </c>
      <c r="P317" s="50">
        <v>0</v>
      </c>
      <c r="Q317" s="375">
        <v>0</v>
      </c>
      <c r="R317" s="160">
        <v>0</v>
      </c>
    </row>
    <row r="318" spans="1:18" s="108" customFormat="1" ht="47.25" customHeight="1">
      <c r="A318" s="52"/>
      <c r="B318" s="477"/>
      <c r="C318" s="444"/>
      <c r="D318" s="444"/>
      <c r="E318" s="444"/>
      <c r="F318" s="334"/>
      <c r="G318" s="76"/>
      <c r="H318" s="76"/>
      <c r="I318" s="444" t="s">
        <v>965</v>
      </c>
      <c r="J318" s="444" t="s">
        <v>198</v>
      </c>
      <c r="K318" s="444" t="s">
        <v>199</v>
      </c>
      <c r="L318" s="477"/>
      <c r="M318" s="477"/>
      <c r="N318" s="50">
        <v>15</v>
      </c>
      <c r="O318" s="50">
        <v>3</v>
      </c>
      <c r="P318" s="50">
        <v>15</v>
      </c>
      <c r="Q318" s="50">
        <v>15</v>
      </c>
      <c r="R318" s="50">
        <v>15</v>
      </c>
    </row>
    <row r="319" spans="1:18" s="108" customFormat="1" ht="108">
      <c r="A319" s="34" t="s">
        <v>3</v>
      </c>
      <c r="B319" s="450">
        <v>1300</v>
      </c>
      <c r="C319" s="450" t="s">
        <v>28</v>
      </c>
      <c r="D319" s="450" t="s">
        <v>28</v>
      </c>
      <c r="E319" s="450" t="s">
        <v>28</v>
      </c>
      <c r="F319" s="450" t="s">
        <v>28</v>
      </c>
      <c r="G319" s="450" t="s">
        <v>28</v>
      </c>
      <c r="H319" s="450" t="s">
        <v>28</v>
      </c>
      <c r="I319" s="450" t="s">
        <v>28</v>
      </c>
      <c r="J319" s="450" t="s">
        <v>28</v>
      </c>
      <c r="K319" s="450" t="s">
        <v>28</v>
      </c>
      <c r="L319" s="450"/>
      <c r="M319" s="450"/>
      <c r="N319" s="35">
        <f>N320+N326+N341</f>
        <v>5581.5020000000004</v>
      </c>
      <c r="O319" s="35">
        <f>O320+O326+O341</f>
        <v>5581.5020000000004</v>
      </c>
      <c r="P319" s="35">
        <f>P320+P326+P341</f>
        <v>4062.297</v>
      </c>
      <c r="Q319" s="35">
        <f>Q320+Q326+Q341</f>
        <v>1989.384</v>
      </c>
      <c r="R319" s="35">
        <f>R320+R326+R341</f>
        <v>1989.384</v>
      </c>
    </row>
    <row r="320" spans="1:18" s="108" customFormat="1" ht="60">
      <c r="A320" s="34" t="s">
        <v>530</v>
      </c>
      <c r="B320" s="450">
        <v>1301</v>
      </c>
      <c r="C320" s="450" t="s">
        <v>28</v>
      </c>
      <c r="D320" s="450" t="s">
        <v>28</v>
      </c>
      <c r="E320" s="450" t="s">
        <v>28</v>
      </c>
      <c r="F320" s="450" t="s">
        <v>28</v>
      </c>
      <c r="G320" s="450" t="s">
        <v>28</v>
      </c>
      <c r="H320" s="450" t="s">
        <v>28</v>
      </c>
      <c r="I320" s="450" t="s">
        <v>28</v>
      </c>
      <c r="J320" s="450" t="s">
        <v>28</v>
      </c>
      <c r="K320" s="450" t="s">
        <v>28</v>
      </c>
      <c r="L320" s="450"/>
      <c r="M320" s="450"/>
      <c r="N320" s="35">
        <f t="shared" ref="N320:R320" si="37">N321</f>
        <v>134</v>
      </c>
      <c r="O320" s="35">
        <f t="shared" si="37"/>
        <v>134</v>
      </c>
      <c r="P320" s="35">
        <f t="shared" si="37"/>
        <v>112.2</v>
      </c>
      <c r="Q320" s="35">
        <f t="shared" si="37"/>
        <v>0</v>
      </c>
      <c r="R320" s="35">
        <f t="shared" si="37"/>
        <v>0</v>
      </c>
    </row>
    <row r="321" spans="1:18" s="108" customFormat="1" ht="23.25" customHeight="1">
      <c r="A321" s="36" t="s">
        <v>48</v>
      </c>
      <c r="B321" s="37">
        <v>1307</v>
      </c>
      <c r="C321" s="36" t="s">
        <v>30</v>
      </c>
      <c r="D321" s="36" t="s">
        <v>30</v>
      </c>
      <c r="E321" s="36" t="s">
        <v>30</v>
      </c>
      <c r="F321" s="36" t="s">
        <v>30</v>
      </c>
      <c r="G321" s="36" t="s">
        <v>30</v>
      </c>
      <c r="H321" s="36" t="s">
        <v>30</v>
      </c>
      <c r="I321" s="36" t="s">
        <v>30</v>
      </c>
      <c r="J321" s="36" t="s">
        <v>30</v>
      </c>
      <c r="K321" s="36" t="s">
        <v>30</v>
      </c>
      <c r="L321" s="37" t="s">
        <v>36</v>
      </c>
      <c r="M321" s="37" t="s">
        <v>24</v>
      </c>
      <c r="N321" s="206">
        <f t="shared" ref="N321:R321" si="38">SUM(N322:N325)</f>
        <v>134</v>
      </c>
      <c r="O321" s="206">
        <f t="shared" si="38"/>
        <v>134</v>
      </c>
      <c r="P321" s="206">
        <f t="shared" si="38"/>
        <v>112.2</v>
      </c>
      <c r="Q321" s="206">
        <f t="shared" si="38"/>
        <v>0</v>
      </c>
      <c r="R321" s="206">
        <f t="shared" si="38"/>
        <v>0</v>
      </c>
    </row>
    <row r="322" spans="1:18" s="107" customFormat="1" ht="60" customHeight="1">
      <c r="A322" s="42"/>
      <c r="B322" s="509"/>
      <c r="C322" s="444" t="s">
        <v>55</v>
      </c>
      <c r="D322" s="444" t="s">
        <v>359</v>
      </c>
      <c r="E322" s="443" t="s">
        <v>142</v>
      </c>
      <c r="F322" s="534" t="s">
        <v>1363</v>
      </c>
      <c r="G322" s="430" t="s">
        <v>1364</v>
      </c>
      <c r="H322" s="42" t="s">
        <v>983</v>
      </c>
      <c r="I322" s="510" t="s">
        <v>561</v>
      </c>
      <c r="J322" s="510" t="s">
        <v>67</v>
      </c>
      <c r="K322" s="510" t="s">
        <v>402</v>
      </c>
      <c r="L322" s="430"/>
      <c r="M322" s="430"/>
      <c r="N322" s="110">
        <v>6.7</v>
      </c>
      <c r="O322" s="110">
        <v>6.7</v>
      </c>
      <c r="P322" s="110">
        <v>112.2</v>
      </c>
      <c r="Q322" s="110">
        <v>0</v>
      </c>
      <c r="R322" s="110">
        <v>0</v>
      </c>
    </row>
    <row r="323" spans="1:18" s="107" customFormat="1" ht="60">
      <c r="A323" s="42"/>
      <c r="B323" s="509"/>
      <c r="C323" s="444"/>
      <c r="D323" s="444"/>
      <c r="E323" s="443"/>
      <c r="F323" s="531"/>
      <c r="G323" s="42"/>
      <c r="H323" s="42"/>
      <c r="I323" s="510" t="s">
        <v>497</v>
      </c>
      <c r="J323" s="510" t="s">
        <v>67</v>
      </c>
      <c r="K323" s="510" t="s">
        <v>457</v>
      </c>
      <c r="L323" s="430"/>
      <c r="M323" s="430"/>
      <c r="N323" s="110"/>
      <c r="O323" s="110"/>
      <c r="P323" s="110"/>
      <c r="Q323" s="386"/>
      <c r="R323" s="131"/>
    </row>
    <row r="324" spans="1:18" s="107" customFormat="1" ht="48">
      <c r="A324" s="42"/>
      <c r="B324" s="509"/>
      <c r="C324" s="444"/>
      <c r="D324" s="444"/>
      <c r="E324" s="443"/>
      <c r="F324" s="42"/>
      <c r="G324" s="42"/>
      <c r="H324" s="42"/>
      <c r="I324" s="510" t="s">
        <v>90</v>
      </c>
      <c r="J324" s="510" t="s">
        <v>67</v>
      </c>
      <c r="K324" s="510" t="s">
        <v>70</v>
      </c>
      <c r="L324" s="430"/>
      <c r="M324" s="430"/>
      <c r="N324" s="110"/>
      <c r="O324" s="110"/>
      <c r="P324" s="110"/>
      <c r="Q324" s="386"/>
      <c r="R324" s="131"/>
    </row>
    <row r="325" spans="1:18" s="107" customFormat="1" ht="96.75" customHeight="1">
      <c r="A325" s="42"/>
      <c r="B325" s="509" t="s">
        <v>408</v>
      </c>
      <c r="C325" s="42"/>
      <c r="D325" s="42"/>
      <c r="E325" s="42"/>
      <c r="F325" s="42"/>
      <c r="G325" s="42"/>
      <c r="H325" s="42"/>
      <c r="I325" s="510" t="s">
        <v>878</v>
      </c>
      <c r="J325" s="510" t="s">
        <v>67</v>
      </c>
      <c r="K325" s="510" t="s">
        <v>1152</v>
      </c>
      <c r="L325" s="430"/>
      <c r="M325" s="430"/>
      <c r="N325" s="110">
        <v>127.3</v>
      </c>
      <c r="O325" s="110">
        <v>127.3</v>
      </c>
      <c r="P325" s="110">
        <v>0</v>
      </c>
      <c r="Q325" s="110">
        <v>0</v>
      </c>
      <c r="R325" s="110">
        <v>0</v>
      </c>
    </row>
    <row r="326" spans="1:18" s="108" customFormat="1" ht="84">
      <c r="A326" s="34" t="s">
        <v>610</v>
      </c>
      <c r="B326" s="450">
        <v>1500</v>
      </c>
      <c r="C326" s="450" t="s">
        <v>28</v>
      </c>
      <c r="D326" s="450" t="s">
        <v>28</v>
      </c>
      <c r="E326" s="450" t="s">
        <v>28</v>
      </c>
      <c r="F326" s="450" t="s">
        <v>28</v>
      </c>
      <c r="G326" s="450" t="s">
        <v>28</v>
      </c>
      <c r="H326" s="450" t="s">
        <v>28</v>
      </c>
      <c r="I326" s="450" t="s">
        <v>28</v>
      </c>
      <c r="J326" s="450" t="s">
        <v>28</v>
      </c>
      <c r="K326" s="450" t="s">
        <v>28</v>
      </c>
      <c r="L326" s="450"/>
      <c r="M326" s="450"/>
      <c r="N326" s="35">
        <f>N327</f>
        <v>5208.1180000000004</v>
      </c>
      <c r="O326" s="35">
        <f>O327</f>
        <v>5208.1180000000004</v>
      </c>
      <c r="P326" s="35">
        <f t="shared" ref="P326:R326" si="39">P327</f>
        <v>3760.7130000000002</v>
      </c>
      <c r="Q326" s="35">
        <f t="shared" si="39"/>
        <v>1800</v>
      </c>
      <c r="R326" s="35">
        <f t="shared" si="39"/>
        <v>1800</v>
      </c>
    </row>
    <row r="327" spans="1:18" s="108" customFormat="1" ht="36">
      <c r="A327" s="34" t="s">
        <v>611</v>
      </c>
      <c r="B327" s="450">
        <v>1503</v>
      </c>
      <c r="C327" s="34" t="s">
        <v>30</v>
      </c>
      <c r="D327" s="34" t="s">
        <v>30</v>
      </c>
      <c r="E327" s="34" t="s">
        <v>30</v>
      </c>
      <c r="F327" s="34" t="s">
        <v>30</v>
      </c>
      <c r="G327" s="34" t="s">
        <v>30</v>
      </c>
      <c r="H327" s="34" t="s">
        <v>30</v>
      </c>
      <c r="I327" s="34" t="s">
        <v>30</v>
      </c>
      <c r="J327" s="34" t="s">
        <v>30</v>
      </c>
      <c r="K327" s="34" t="s">
        <v>30</v>
      </c>
      <c r="L327" s="450"/>
      <c r="M327" s="450"/>
      <c r="N327" s="35">
        <f>SUM(N329:N340)</f>
        <v>5208.1180000000004</v>
      </c>
      <c r="O327" s="35">
        <f>SUM(O329:O340)</f>
        <v>5208.1180000000004</v>
      </c>
      <c r="P327" s="35">
        <f t="shared" ref="P327:R327" si="40">SUM(P329:P340)</f>
        <v>3760.7130000000002</v>
      </c>
      <c r="Q327" s="35">
        <f t="shared" si="40"/>
        <v>1800</v>
      </c>
      <c r="R327" s="35">
        <f t="shared" si="40"/>
        <v>1800</v>
      </c>
    </row>
    <row r="328" spans="1:18" s="108" customFormat="1" ht="12">
      <c r="A328" s="34" t="s">
        <v>96</v>
      </c>
      <c r="B328" s="450"/>
      <c r="C328" s="34"/>
      <c r="D328" s="34"/>
      <c r="E328" s="34"/>
      <c r="F328" s="34"/>
      <c r="G328" s="34"/>
      <c r="H328" s="34"/>
      <c r="I328" s="34"/>
      <c r="J328" s="34"/>
      <c r="K328" s="34"/>
      <c r="L328" s="450"/>
      <c r="M328" s="450"/>
      <c r="N328" s="35"/>
      <c r="O328" s="35"/>
      <c r="P328" s="35"/>
      <c r="Q328" s="383"/>
      <c r="R328" s="158"/>
    </row>
    <row r="329" spans="1:18" s="108" customFormat="1" ht="155.25" customHeight="1">
      <c r="A329" s="49"/>
      <c r="B329" s="508"/>
      <c r="C329" s="448" t="s">
        <v>55</v>
      </c>
      <c r="D329" s="448" t="s">
        <v>357</v>
      </c>
      <c r="E329" s="499" t="s">
        <v>142</v>
      </c>
      <c r="F329" s="545" t="s">
        <v>180</v>
      </c>
      <c r="G329" s="448" t="s">
        <v>181</v>
      </c>
      <c r="H329" s="499" t="s">
        <v>117</v>
      </c>
      <c r="I329" s="263" t="s">
        <v>1436</v>
      </c>
      <c r="J329" s="129" t="s">
        <v>67</v>
      </c>
      <c r="K329" s="129" t="s">
        <v>1437</v>
      </c>
      <c r="L329" s="508" t="s">
        <v>22</v>
      </c>
      <c r="M329" s="508" t="s">
        <v>40</v>
      </c>
      <c r="N329" s="18">
        <v>1000</v>
      </c>
      <c r="O329" s="18">
        <v>1000</v>
      </c>
      <c r="P329" s="18">
        <v>1000</v>
      </c>
      <c r="Q329" s="374">
        <v>0</v>
      </c>
      <c r="R329" s="159">
        <v>0</v>
      </c>
    </row>
    <row r="330" spans="1:18" s="108" customFormat="1" ht="216.75" customHeight="1">
      <c r="A330" s="42"/>
      <c r="B330" s="509" t="s">
        <v>179</v>
      </c>
      <c r="C330" s="76"/>
      <c r="D330" s="76"/>
      <c r="E330" s="76"/>
      <c r="F330" s="542"/>
      <c r="G330" s="76"/>
      <c r="H330" s="76"/>
      <c r="I330" s="259" t="s">
        <v>1064</v>
      </c>
      <c r="J330" s="453" t="s">
        <v>67</v>
      </c>
      <c r="K330" s="453" t="s">
        <v>458</v>
      </c>
      <c r="L330" s="508" t="s">
        <v>22</v>
      </c>
      <c r="M330" s="508" t="s">
        <v>40</v>
      </c>
      <c r="N330" s="50">
        <v>1000</v>
      </c>
      <c r="O330" s="50">
        <v>1000</v>
      </c>
      <c r="P330" s="50">
        <v>1000</v>
      </c>
      <c r="Q330" s="375">
        <v>1500</v>
      </c>
      <c r="R330" s="160">
        <v>1500</v>
      </c>
    </row>
    <row r="331" spans="1:18" s="108" customFormat="1" ht="71.25" customHeight="1">
      <c r="A331" s="42"/>
      <c r="B331" s="509"/>
      <c r="C331" s="542" t="s">
        <v>511</v>
      </c>
      <c r="D331" s="542" t="s">
        <v>796</v>
      </c>
      <c r="E331" s="542" t="s">
        <v>512</v>
      </c>
      <c r="F331" s="542" t="s">
        <v>959</v>
      </c>
      <c r="G331" s="542" t="s">
        <v>960</v>
      </c>
      <c r="H331" s="542" t="s">
        <v>983</v>
      </c>
      <c r="I331" s="444" t="s">
        <v>1082</v>
      </c>
      <c r="J331" s="444" t="s">
        <v>67</v>
      </c>
      <c r="K331" s="444" t="s">
        <v>410</v>
      </c>
      <c r="L331" s="508" t="s">
        <v>22</v>
      </c>
      <c r="M331" s="508" t="s">
        <v>40</v>
      </c>
      <c r="N331" s="50"/>
      <c r="O331" s="50"/>
      <c r="P331" s="50"/>
      <c r="Q331" s="375"/>
      <c r="R331" s="160"/>
    </row>
    <row r="332" spans="1:18" s="108" customFormat="1" ht="46.5" customHeight="1">
      <c r="A332" s="42"/>
      <c r="B332" s="509"/>
      <c r="C332" s="542"/>
      <c r="D332" s="542"/>
      <c r="E332" s="542"/>
      <c r="F332" s="542"/>
      <c r="G332" s="542"/>
      <c r="H332" s="542"/>
      <c r="I332" s="444" t="s">
        <v>90</v>
      </c>
      <c r="J332" s="444" t="s">
        <v>67</v>
      </c>
      <c r="K332" s="444" t="s">
        <v>70</v>
      </c>
      <c r="L332" s="508" t="s">
        <v>22</v>
      </c>
      <c r="M332" s="508" t="s">
        <v>40</v>
      </c>
      <c r="N332" s="50"/>
      <c r="O332" s="50"/>
      <c r="P332" s="50"/>
      <c r="Q332" s="375"/>
      <c r="R332" s="160"/>
    </row>
    <row r="333" spans="1:18" s="108" customFormat="1" ht="72">
      <c r="A333" s="42"/>
      <c r="B333" s="509"/>
      <c r="C333" s="542"/>
      <c r="D333" s="76"/>
      <c r="E333" s="76"/>
      <c r="F333" s="444"/>
      <c r="G333" s="76"/>
      <c r="H333" s="76"/>
      <c r="I333" s="259" t="s">
        <v>182</v>
      </c>
      <c r="J333" s="453" t="s">
        <v>67</v>
      </c>
      <c r="K333" s="453" t="s">
        <v>105</v>
      </c>
      <c r="L333" s="508" t="s">
        <v>22</v>
      </c>
      <c r="M333" s="508" t="s">
        <v>40</v>
      </c>
      <c r="N333" s="50">
        <v>1946.818</v>
      </c>
      <c r="O333" s="50">
        <v>1946.818</v>
      </c>
      <c r="P333" s="50">
        <v>1540</v>
      </c>
      <c r="Q333" s="50">
        <v>0</v>
      </c>
      <c r="R333" s="50">
        <v>0</v>
      </c>
    </row>
    <row r="334" spans="1:18" s="108" customFormat="1" ht="72">
      <c r="A334" s="42"/>
      <c r="B334" s="509"/>
      <c r="C334" s="76"/>
      <c r="D334" s="76"/>
      <c r="E334" s="76"/>
      <c r="F334" s="76"/>
      <c r="G334" s="76"/>
      <c r="H334" s="76"/>
      <c r="I334" s="259" t="s">
        <v>874</v>
      </c>
      <c r="J334" s="453" t="s">
        <v>67</v>
      </c>
      <c r="K334" s="453" t="s">
        <v>364</v>
      </c>
      <c r="L334" s="430"/>
      <c r="M334" s="430"/>
      <c r="N334" s="50"/>
      <c r="O334" s="50"/>
      <c r="P334" s="50"/>
      <c r="Q334" s="50"/>
      <c r="R334" s="50"/>
    </row>
    <row r="335" spans="1:18" s="108" customFormat="1" ht="107.25" customHeight="1">
      <c r="A335" s="42"/>
      <c r="B335" s="509"/>
      <c r="C335" s="76"/>
      <c r="D335" s="76"/>
      <c r="E335" s="76"/>
      <c r="F335" s="76"/>
      <c r="G335" s="76"/>
      <c r="H335" s="76"/>
      <c r="I335" s="259" t="s">
        <v>850</v>
      </c>
      <c r="J335" s="453" t="s">
        <v>67</v>
      </c>
      <c r="K335" s="453" t="s">
        <v>849</v>
      </c>
      <c r="L335" s="509" t="s">
        <v>22</v>
      </c>
      <c r="M335" s="509" t="s">
        <v>40</v>
      </c>
      <c r="N335" s="50">
        <v>5</v>
      </c>
      <c r="O335" s="50">
        <v>5</v>
      </c>
      <c r="P335" s="50">
        <v>215</v>
      </c>
      <c r="Q335" s="50">
        <v>300</v>
      </c>
      <c r="R335" s="50">
        <v>300</v>
      </c>
    </row>
    <row r="336" spans="1:18" s="108" customFormat="1" ht="60" customHeight="1">
      <c r="A336" s="42"/>
      <c r="B336" s="509"/>
      <c r="C336" s="444" t="s">
        <v>55</v>
      </c>
      <c r="D336" s="444" t="s">
        <v>755</v>
      </c>
      <c r="E336" s="443" t="s">
        <v>142</v>
      </c>
      <c r="F336" s="76"/>
      <c r="G336" s="76"/>
      <c r="H336" s="76"/>
      <c r="I336" s="259" t="s">
        <v>754</v>
      </c>
      <c r="J336" s="453" t="s">
        <v>751</v>
      </c>
      <c r="K336" s="453" t="s">
        <v>59</v>
      </c>
      <c r="L336" s="509"/>
      <c r="M336" s="509"/>
      <c r="N336" s="50"/>
      <c r="O336" s="50"/>
      <c r="P336" s="50"/>
      <c r="Q336" s="50"/>
      <c r="R336" s="50"/>
    </row>
    <row r="337" spans="1:18" s="108" customFormat="1" ht="84">
      <c r="A337" s="42"/>
      <c r="B337" s="509"/>
      <c r="C337" s="444"/>
      <c r="D337" s="444"/>
      <c r="E337" s="443"/>
      <c r="F337" s="76"/>
      <c r="G337" s="76"/>
      <c r="H337" s="76"/>
      <c r="I337" s="259" t="s">
        <v>1080</v>
      </c>
      <c r="J337" s="453" t="s">
        <v>67</v>
      </c>
      <c r="K337" s="453" t="s">
        <v>1081</v>
      </c>
      <c r="L337" s="509" t="s">
        <v>22</v>
      </c>
      <c r="M337" s="509" t="s">
        <v>32</v>
      </c>
      <c r="N337" s="50">
        <v>787</v>
      </c>
      <c r="O337" s="50">
        <v>787</v>
      </c>
      <c r="P337" s="50">
        <v>0</v>
      </c>
      <c r="Q337" s="50">
        <v>0</v>
      </c>
      <c r="R337" s="50">
        <v>0</v>
      </c>
    </row>
    <row r="338" spans="1:18" s="108" customFormat="1" ht="96">
      <c r="A338" s="42"/>
      <c r="B338" s="509"/>
      <c r="C338" s="444"/>
      <c r="D338" s="444"/>
      <c r="E338" s="443"/>
      <c r="F338" s="76"/>
      <c r="G338" s="76"/>
      <c r="H338" s="76"/>
      <c r="I338" s="259" t="s">
        <v>1107</v>
      </c>
      <c r="J338" s="453" t="s">
        <v>67</v>
      </c>
      <c r="K338" s="453" t="s">
        <v>1108</v>
      </c>
      <c r="L338" s="509"/>
      <c r="M338" s="509"/>
      <c r="N338" s="50"/>
      <c r="O338" s="50"/>
      <c r="P338" s="50"/>
      <c r="Q338" s="50"/>
      <c r="R338" s="50"/>
    </row>
    <row r="339" spans="1:18" s="107" customFormat="1" ht="35.25" customHeight="1">
      <c r="A339" s="42"/>
      <c r="B339" s="509"/>
      <c r="C339" s="444"/>
      <c r="D339" s="465"/>
      <c r="E339" s="465"/>
      <c r="F339" s="444"/>
      <c r="G339" s="444"/>
      <c r="H339" s="443"/>
      <c r="I339" s="453" t="s">
        <v>1314</v>
      </c>
      <c r="J339" s="453" t="s">
        <v>67</v>
      </c>
      <c r="K339" s="453" t="s">
        <v>1315</v>
      </c>
      <c r="L339" s="430">
        <v>10</v>
      </c>
      <c r="M339" s="509" t="s">
        <v>32</v>
      </c>
      <c r="N339" s="290">
        <v>0</v>
      </c>
      <c r="O339" s="290">
        <v>0</v>
      </c>
      <c r="P339" s="290">
        <v>5.7130000000000001</v>
      </c>
      <c r="Q339" s="290">
        <v>0</v>
      </c>
      <c r="R339" s="290">
        <v>0</v>
      </c>
    </row>
    <row r="340" spans="1:18" s="107" customFormat="1" ht="96">
      <c r="A340" s="45"/>
      <c r="B340" s="68" t="s">
        <v>476</v>
      </c>
      <c r="C340" s="474"/>
      <c r="D340" s="105"/>
      <c r="E340" s="105"/>
      <c r="F340" s="474"/>
      <c r="G340" s="474"/>
      <c r="H340" s="500"/>
      <c r="I340" s="332" t="s">
        <v>1120</v>
      </c>
      <c r="J340" s="332" t="s">
        <v>67</v>
      </c>
      <c r="K340" s="332" t="s">
        <v>1121</v>
      </c>
      <c r="L340" s="433" t="s">
        <v>22</v>
      </c>
      <c r="M340" s="433" t="s">
        <v>40</v>
      </c>
      <c r="N340" s="346">
        <v>469.3</v>
      </c>
      <c r="O340" s="346">
        <v>469.3</v>
      </c>
      <c r="P340" s="346">
        <v>0</v>
      </c>
      <c r="Q340" s="346">
        <v>0</v>
      </c>
      <c r="R340" s="346">
        <v>0</v>
      </c>
    </row>
    <row r="341" spans="1:18" s="108" customFormat="1" ht="96">
      <c r="A341" s="36" t="s">
        <v>612</v>
      </c>
      <c r="B341" s="165" t="s">
        <v>613</v>
      </c>
      <c r="C341" s="178"/>
      <c r="D341" s="178"/>
      <c r="E341" s="178"/>
      <c r="F341" s="178"/>
      <c r="G341" s="178"/>
      <c r="H341" s="178"/>
      <c r="I341" s="224"/>
      <c r="J341" s="216"/>
      <c r="K341" s="216"/>
      <c r="L341" s="37"/>
      <c r="M341" s="37"/>
      <c r="N341" s="206">
        <f t="shared" ref="N341:O341" si="41">N342+N343</f>
        <v>239.38399999999999</v>
      </c>
      <c r="O341" s="206">
        <f t="shared" si="41"/>
        <v>239.38399999999999</v>
      </c>
      <c r="P341" s="206">
        <f>P342+P343</f>
        <v>189.38399999999999</v>
      </c>
      <c r="Q341" s="206">
        <f t="shared" ref="Q341:R341" si="42">Q342+Q343</f>
        <v>189.38399999999999</v>
      </c>
      <c r="R341" s="206">
        <f t="shared" si="42"/>
        <v>189.38399999999999</v>
      </c>
    </row>
    <row r="342" spans="1:18" s="108" customFormat="1" ht="109.5" hidden="1" customHeight="1">
      <c r="A342" s="34" t="s">
        <v>614</v>
      </c>
      <c r="B342" s="450">
        <v>1602</v>
      </c>
      <c r="C342" s="472" t="s">
        <v>358</v>
      </c>
      <c r="D342" s="472" t="s">
        <v>189</v>
      </c>
      <c r="E342" s="472" t="s">
        <v>190</v>
      </c>
      <c r="F342" s="472" t="s">
        <v>415</v>
      </c>
      <c r="G342" s="472" t="s">
        <v>416</v>
      </c>
      <c r="H342" s="472" t="s">
        <v>417</v>
      </c>
      <c r="I342" s="263" t="s">
        <v>191</v>
      </c>
      <c r="J342" s="129" t="s">
        <v>69</v>
      </c>
      <c r="K342" s="129" t="s">
        <v>192</v>
      </c>
      <c r="L342" s="450" t="s">
        <v>22</v>
      </c>
      <c r="M342" s="450" t="s">
        <v>36</v>
      </c>
      <c r="N342" s="35">
        <v>0</v>
      </c>
      <c r="O342" s="35"/>
      <c r="P342" s="35"/>
      <c r="Q342" s="35"/>
      <c r="R342" s="35">
        <v>0</v>
      </c>
    </row>
    <row r="343" spans="1:18" s="108" customFormat="1" ht="97.5" customHeight="1">
      <c r="A343" s="34" t="s">
        <v>615</v>
      </c>
      <c r="B343" s="450">
        <v>1604</v>
      </c>
      <c r="C343" s="264" t="s">
        <v>55</v>
      </c>
      <c r="D343" s="265" t="s">
        <v>356</v>
      </c>
      <c r="E343" s="266" t="s">
        <v>142</v>
      </c>
      <c r="F343" s="267" t="s">
        <v>200</v>
      </c>
      <c r="G343" s="268" t="s">
        <v>201</v>
      </c>
      <c r="H343" s="268" t="s">
        <v>202</v>
      </c>
      <c r="I343" s="268" t="s">
        <v>203</v>
      </c>
      <c r="J343" s="268" t="s">
        <v>148</v>
      </c>
      <c r="K343" s="269" t="s">
        <v>204</v>
      </c>
      <c r="L343" s="450" t="s">
        <v>31</v>
      </c>
      <c r="M343" s="450" t="s">
        <v>25</v>
      </c>
      <c r="N343" s="35">
        <v>239.38399999999999</v>
      </c>
      <c r="O343" s="35">
        <v>239.38399999999999</v>
      </c>
      <c r="P343" s="35">
        <v>189.38399999999999</v>
      </c>
      <c r="Q343" s="35">
        <v>189.38399999999999</v>
      </c>
      <c r="R343" s="35">
        <v>189.38399999999999</v>
      </c>
    </row>
    <row r="344" spans="1:18" s="108" customFormat="1" ht="121.5" customHeight="1">
      <c r="A344" s="34" t="s">
        <v>4</v>
      </c>
      <c r="B344" s="450">
        <v>1700</v>
      </c>
      <c r="C344" s="450" t="s">
        <v>28</v>
      </c>
      <c r="D344" s="450" t="s">
        <v>28</v>
      </c>
      <c r="E344" s="450" t="s">
        <v>28</v>
      </c>
      <c r="F344" s="450" t="s">
        <v>28</v>
      </c>
      <c r="G344" s="450" t="s">
        <v>28</v>
      </c>
      <c r="H344" s="450" t="s">
        <v>28</v>
      </c>
      <c r="I344" s="450" t="s">
        <v>28</v>
      </c>
      <c r="J344" s="450" t="s">
        <v>28</v>
      </c>
      <c r="K344" s="450" t="s">
        <v>28</v>
      </c>
      <c r="L344" s="450"/>
      <c r="M344" s="450"/>
      <c r="N344" s="35">
        <f t="shared" ref="N344:R344" si="43">N345+N353</f>
        <v>79773.432000000001</v>
      </c>
      <c r="O344" s="35">
        <f t="shared" si="43"/>
        <v>74285.06200000002</v>
      </c>
      <c r="P344" s="35">
        <f t="shared" si="43"/>
        <v>93204.781999999992</v>
      </c>
      <c r="Q344" s="35">
        <f t="shared" si="43"/>
        <v>99139.599999999991</v>
      </c>
      <c r="R344" s="35">
        <f t="shared" si="43"/>
        <v>99003.9</v>
      </c>
    </row>
    <row r="345" spans="1:18" s="108" customFormat="1" ht="24.75" customHeight="1">
      <c r="A345" s="34" t="s">
        <v>616</v>
      </c>
      <c r="B345" s="450">
        <v>1701</v>
      </c>
      <c r="C345" s="450" t="s">
        <v>28</v>
      </c>
      <c r="D345" s="450" t="s">
        <v>28</v>
      </c>
      <c r="E345" s="450" t="s">
        <v>28</v>
      </c>
      <c r="F345" s="450" t="s">
        <v>28</v>
      </c>
      <c r="G345" s="450" t="s">
        <v>28</v>
      </c>
      <c r="H345" s="450" t="s">
        <v>28</v>
      </c>
      <c r="I345" s="450" t="s">
        <v>28</v>
      </c>
      <c r="J345" s="450" t="s">
        <v>28</v>
      </c>
      <c r="K345" s="450" t="s">
        <v>28</v>
      </c>
      <c r="L345" s="450"/>
      <c r="M345" s="450"/>
      <c r="N345" s="35">
        <f>SUM(N347:N349)</f>
        <v>760.5</v>
      </c>
      <c r="O345" s="35">
        <f>SUM(O347:O349)</f>
        <v>691.36800000000005</v>
      </c>
      <c r="P345" s="35">
        <f t="shared" ref="P345:R345" si="44">SUM(P347:P349)</f>
        <v>1287.7</v>
      </c>
      <c r="Q345" s="35">
        <f t="shared" si="44"/>
        <v>668.7</v>
      </c>
      <c r="R345" s="35">
        <f t="shared" si="44"/>
        <v>743.9</v>
      </c>
    </row>
    <row r="346" spans="1:18" s="108" customFormat="1" ht="12">
      <c r="A346" s="36" t="s">
        <v>96</v>
      </c>
      <c r="B346" s="37"/>
      <c r="C346" s="37"/>
      <c r="D346" s="37"/>
      <c r="E346" s="37"/>
      <c r="F346" s="37"/>
      <c r="G346" s="37"/>
      <c r="H346" s="37"/>
      <c r="I346" s="37"/>
      <c r="J346" s="37"/>
      <c r="K346" s="37"/>
      <c r="L346" s="475"/>
      <c r="M346" s="475"/>
      <c r="N346" s="35"/>
      <c r="O346" s="35"/>
      <c r="P346" s="35"/>
      <c r="Q346" s="35"/>
      <c r="R346" s="35"/>
    </row>
    <row r="347" spans="1:18" s="109" customFormat="1" ht="12">
      <c r="A347" s="38"/>
      <c r="B347" s="39"/>
      <c r="C347" s="39"/>
      <c r="D347" s="39"/>
      <c r="E347" s="39"/>
      <c r="F347" s="39"/>
      <c r="G347" s="39"/>
      <c r="H347" s="39"/>
      <c r="I347" s="39"/>
      <c r="J347" s="39"/>
      <c r="K347" s="39"/>
      <c r="L347" s="78" t="s">
        <v>31</v>
      </c>
      <c r="M347" s="78" t="s">
        <v>34</v>
      </c>
      <c r="N347" s="58">
        <f>N350</f>
        <v>17</v>
      </c>
      <c r="O347" s="58">
        <f>O350</f>
        <v>17</v>
      </c>
      <c r="P347" s="58">
        <f t="shared" ref="P347:R347" si="45">P350</f>
        <v>20</v>
      </c>
      <c r="Q347" s="58">
        <f t="shared" si="45"/>
        <v>80</v>
      </c>
      <c r="R347" s="58">
        <f t="shared" si="45"/>
        <v>8</v>
      </c>
    </row>
    <row r="348" spans="1:18" s="109" customFormat="1" ht="12">
      <c r="A348" s="38"/>
      <c r="B348" s="39"/>
      <c r="C348" s="39"/>
      <c r="D348" s="39"/>
      <c r="E348" s="39"/>
      <c r="F348" s="39"/>
      <c r="G348" s="39"/>
      <c r="H348" s="39"/>
      <c r="I348" s="39"/>
      <c r="J348" s="39"/>
      <c r="K348" s="39"/>
      <c r="L348" s="78" t="s">
        <v>31</v>
      </c>
      <c r="M348" s="78" t="s">
        <v>25</v>
      </c>
      <c r="N348" s="58">
        <f>N352</f>
        <v>0</v>
      </c>
      <c r="O348" s="58">
        <f>O352</f>
        <v>0</v>
      </c>
      <c r="P348" s="58">
        <f t="shared" ref="P348:R348" si="46">P352</f>
        <v>560.1</v>
      </c>
      <c r="Q348" s="58">
        <f t="shared" si="46"/>
        <v>0</v>
      </c>
      <c r="R348" s="58">
        <f t="shared" si="46"/>
        <v>0</v>
      </c>
    </row>
    <row r="349" spans="1:18" s="109" customFormat="1" ht="12">
      <c r="A349" s="38"/>
      <c r="B349" s="39"/>
      <c r="C349" s="39"/>
      <c r="D349" s="39"/>
      <c r="E349" s="39"/>
      <c r="F349" s="39"/>
      <c r="G349" s="39"/>
      <c r="H349" s="39"/>
      <c r="I349" s="39"/>
      <c r="J349" s="39"/>
      <c r="K349" s="39"/>
      <c r="L349" s="78" t="s">
        <v>22</v>
      </c>
      <c r="M349" s="78" t="s">
        <v>36</v>
      </c>
      <c r="N349" s="58">
        <f>N351</f>
        <v>743.5</v>
      </c>
      <c r="O349" s="58">
        <f>O351</f>
        <v>674.36800000000005</v>
      </c>
      <c r="P349" s="58">
        <f t="shared" ref="P349:R349" si="47">P351</f>
        <v>707.6</v>
      </c>
      <c r="Q349" s="58">
        <f t="shared" si="47"/>
        <v>588.70000000000005</v>
      </c>
      <c r="R349" s="58">
        <f t="shared" si="47"/>
        <v>735.9</v>
      </c>
    </row>
    <row r="350" spans="1:18" s="107" customFormat="1" ht="192">
      <c r="A350" s="42" t="s">
        <v>891</v>
      </c>
      <c r="B350" s="430" t="s">
        <v>617</v>
      </c>
      <c r="C350" s="267" t="s">
        <v>205</v>
      </c>
      <c r="D350" s="268" t="s">
        <v>206</v>
      </c>
      <c r="E350" s="270" t="s">
        <v>207</v>
      </c>
      <c r="F350" s="268" t="s">
        <v>208</v>
      </c>
      <c r="G350" s="268" t="s">
        <v>121</v>
      </c>
      <c r="H350" s="268" t="s">
        <v>62</v>
      </c>
      <c r="I350" s="268" t="s">
        <v>209</v>
      </c>
      <c r="J350" s="268" t="s">
        <v>88</v>
      </c>
      <c r="K350" s="269" t="s">
        <v>210</v>
      </c>
      <c r="L350" s="432" t="s">
        <v>31</v>
      </c>
      <c r="M350" s="432" t="s">
        <v>34</v>
      </c>
      <c r="N350" s="18">
        <v>17</v>
      </c>
      <c r="O350" s="18">
        <v>17</v>
      </c>
      <c r="P350" s="18">
        <v>20</v>
      </c>
      <c r="Q350" s="374">
        <v>80</v>
      </c>
      <c r="R350" s="159">
        <v>8</v>
      </c>
    </row>
    <row r="351" spans="1:18" s="107" customFormat="1" ht="168">
      <c r="A351" s="96" t="s">
        <v>674</v>
      </c>
      <c r="B351" s="438" t="s">
        <v>1304</v>
      </c>
      <c r="C351" s="470" t="s">
        <v>235</v>
      </c>
      <c r="D351" s="446" t="s">
        <v>184</v>
      </c>
      <c r="E351" s="446" t="s">
        <v>236</v>
      </c>
      <c r="F351" s="446" t="s">
        <v>237</v>
      </c>
      <c r="G351" s="446" t="s">
        <v>238</v>
      </c>
      <c r="H351" s="446" t="s">
        <v>214</v>
      </c>
      <c r="I351" s="446" t="s">
        <v>406</v>
      </c>
      <c r="J351" s="464" t="s">
        <v>239</v>
      </c>
      <c r="K351" s="277" t="s">
        <v>240</v>
      </c>
      <c r="L351" s="438">
        <v>10</v>
      </c>
      <c r="M351" s="481" t="s">
        <v>36</v>
      </c>
      <c r="N351" s="231">
        <v>743.5</v>
      </c>
      <c r="O351" s="231">
        <v>674.36800000000005</v>
      </c>
      <c r="P351" s="231">
        <v>707.6</v>
      </c>
      <c r="Q351" s="231">
        <v>588.70000000000005</v>
      </c>
      <c r="R351" s="231">
        <v>735.9</v>
      </c>
    </row>
    <row r="352" spans="1:18" s="107" customFormat="1" ht="121.5" customHeight="1">
      <c r="A352" s="94" t="s">
        <v>1023</v>
      </c>
      <c r="B352" s="95" t="s">
        <v>1024</v>
      </c>
      <c r="C352" s="458"/>
      <c r="D352" s="458"/>
      <c r="E352" s="458"/>
      <c r="F352" s="458" t="s">
        <v>1340</v>
      </c>
      <c r="G352" s="458" t="s">
        <v>256</v>
      </c>
      <c r="H352" s="458" t="s">
        <v>1341</v>
      </c>
      <c r="I352" s="458" t="s">
        <v>1338</v>
      </c>
      <c r="J352" s="173" t="s">
        <v>67</v>
      </c>
      <c r="K352" s="173" t="s">
        <v>1339</v>
      </c>
      <c r="L352" s="95" t="s">
        <v>31</v>
      </c>
      <c r="M352" s="95" t="s">
        <v>25</v>
      </c>
      <c r="N352" s="99">
        <v>0</v>
      </c>
      <c r="O352" s="99">
        <v>0</v>
      </c>
      <c r="P352" s="99">
        <v>560.1</v>
      </c>
      <c r="Q352" s="99">
        <v>0</v>
      </c>
      <c r="R352" s="99">
        <v>0</v>
      </c>
    </row>
    <row r="353" spans="1:18" s="108" customFormat="1" ht="36">
      <c r="A353" s="52" t="s">
        <v>618</v>
      </c>
      <c r="B353" s="477">
        <v>1800</v>
      </c>
      <c r="C353" s="226"/>
      <c r="D353" s="226"/>
      <c r="E353" s="227"/>
      <c r="F353" s="226"/>
      <c r="G353" s="226"/>
      <c r="H353" s="226"/>
      <c r="I353" s="226"/>
      <c r="J353" s="226"/>
      <c r="K353" s="226"/>
      <c r="L353" s="477"/>
      <c r="M353" s="477"/>
      <c r="N353" s="53">
        <f>SUM(N355:N363)</f>
        <v>79012.932000000001</v>
      </c>
      <c r="O353" s="53">
        <f>SUM(O355:O363)</f>
        <v>73593.694000000018</v>
      </c>
      <c r="P353" s="53">
        <f t="shared" ref="P353:R353" si="48">SUM(P355:P363)</f>
        <v>91917.081999999995</v>
      </c>
      <c r="Q353" s="53">
        <f t="shared" si="48"/>
        <v>98470.9</v>
      </c>
      <c r="R353" s="53">
        <f t="shared" si="48"/>
        <v>98260</v>
      </c>
    </row>
    <row r="354" spans="1:18" s="108" customFormat="1" ht="12">
      <c r="A354" s="36" t="s">
        <v>96</v>
      </c>
      <c r="B354" s="37"/>
      <c r="C354" s="37"/>
      <c r="D354" s="37"/>
      <c r="E354" s="37"/>
      <c r="F354" s="37"/>
      <c r="G354" s="37"/>
      <c r="H354" s="37"/>
      <c r="I354" s="37"/>
      <c r="J354" s="37"/>
      <c r="K354" s="37"/>
      <c r="L354" s="475"/>
      <c r="M354" s="475"/>
      <c r="N354" s="35"/>
      <c r="O354" s="35"/>
      <c r="P354" s="35"/>
      <c r="Q354" s="35"/>
      <c r="R354" s="35"/>
    </row>
    <row r="355" spans="1:18" s="109" customFormat="1" ht="12">
      <c r="A355" s="38"/>
      <c r="B355" s="39"/>
      <c r="C355" s="39"/>
      <c r="D355" s="39"/>
      <c r="E355" s="39"/>
      <c r="F355" s="39"/>
      <c r="G355" s="39"/>
      <c r="H355" s="39"/>
      <c r="I355" s="39"/>
      <c r="J355" s="39"/>
      <c r="K355" s="39"/>
      <c r="L355" s="78" t="s">
        <v>31</v>
      </c>
      <c r="M355" s="78" t="s">
        <v>36</v>
      </c>
      <c r="N355" s="58">
        <f>N365+N379</f>
        <v>12481.1</v>
      </c>
      <c r="O355" s="58">
        <f>O365+O379</f>
        <v>12060.740000000002</v>
      </c>
      <c r="P355" s="58">
        <f t="shared" ref="P355:R355" si="49">P365+P379</f>
        <v>13001.159</v>
      </c>
      <c r="Q355" s="58">
        <f t="shared" si="49"/>
        <v>13001.2</v>
      </c>
      <c r="R355" s="58">
        <f t="shared" si="49"/>
        <v>13001.2</v>
      </c>
    </row>
    <row r="356" spans="1:18" s="109" customFormat="1" ht="12">
      <c r="A356" s="38"/>
      <c r="B356" s="39"/>
      <c r="C356" s="39"/>
      <c r="D356" s="39"/>
      <c r="E356" s="39"/>
      <c r="F356" s="39"/>
      <c r="G356" s="39"/>
      <c r="H356" s="39"/>
      <c r="I356" s="39"/>
      <c r="J356" s="39"/>
      <c r="K356" s="39"/>
      <c r="L356" s="78" t="s">
        <v>36</v>
      </c>
      <c r="M356" s="78" t="s">
        <v>31</v>
      </c>
      <c r="N356" s="58">
        <f>N372+N386</f>
        <v>212</v>
      </c>
      <c r="O356" s="58">
        <f>O372+O386</f>
        <v>131.60400000000001</v>
      </c>
      <c r="P356" s="58">
        <f t="shared" ref="P356:R356" si="50">P372+P386</f>
        <v>210.3</v>
      </c>
      <c r="Q356" s="58">
        <f t="shared" si="50"/>
        <v>210.3</v>
      </c>
      <c r="R356" s="58">
        <f t="shared" si="50"/>
        <v>210.3</v>
      </c>
    </row>
    <row r="357" spans="1:18" s="109" customFormat="1" ht="12">
      <c r="A357" s="38"/>
      <c r="B357" s="39"/>
      <c r="C357" s="39"/>
      <c r="D357" s="39"/>
      <c r="E357" s="39"/>
      <c r="F357" s="39"/>
      <c r="G357" s="39"/>
      <c r="H357" s="39"/>
      <c r="I357" s="39"/>
      <c r="J357" s="39"/>
      <c r="K357" s="39"/>
      <c r="L357" s="78" t="s">
        <v>36</v>
      </c>
      <c r="M357" s="78" t="s">
        <v>34</v>
      </c>
      <c r="N357" s="58">
        <f>N373+N387+N390+N392+N401</f>
        <v>11696.99</v>
      </c>
      <c r="O357" s="58">
        <f>O373+O387+O390+O392+O401</f>
        <v>11205.273000000005</v>
      </c>
      <c r="P357" s="58">
        <f t="shared" ref="P357:R357" si="51">P373+P387+P390+P392+P401</f>
        <v>12643.243999999999</v>
      </c>
      <c r="Q357" s="58">
        <f t="shared" si="51"/>
        <v>12140.5</v>
      </c>
      <c r="R357" s="58">
        <f t="shared" si="51"/>
        <v>12140.5</v>
      </c>
    </row>
    <row r="358" spans="1:18" s="109" customFormat="1" ht="12">
      <c r="A358" s="38"/>
      <c r="B358" s="39"/>
      <c r="C358" s="39"/>
      <c r="D358" s="39"/>
      <c r="E358" s="39"/>
      <c r="F358" s="39"/>
      <c r="G358" s="39"/>
      <c r="H358" s="39"/>
      <c r="I358" s="39"/>
      <c r="J358" s="39"/>
      <c r="K358" s="39"/>
      <c r="L358" s="78" t="s">
        <v>42</v>
      </c>
      <c r="M358" s="78" t="s">
        <v>31</v>
      </c>
      <c r="N358" s="58">
        <f>N393+N398+N402+N403</f>
        <v>944.77200000000005</v>
      </c>
      <c r="O358" s="58">
        <f>O393+O398+O402+O403</f>
        <v>916.6110000000001</v>
      </c>
      <c r="P358" s="58">
        <f t="shared" ref="P358:R358" si="52">P393+P398+P402+P403</f>
        <v>1069.2040000000002</v>
      </c>
      <c r="Q358" s="58">
        <f t="shared" si="52"/>
        <v>1069.404</v>
      </c>
      <c r="R358" s="58">
        <f t="shared" si="52"/>
        <v>1068.8040000000001</v>
      </c>
    </row>
    <row r="359" spans="1:18" s="109" customFormat="1" ht="12">
      <c r="A359" s="38"/>
      <c r="B359" s="39"/>
      <c r="C359" s="39"/>
      <c r="D359" s="39"/>
      <c r="E359" s="39"/>
      <c r="F359" s="39"/>
      <c r="G359" s="39"/>
      <c r="H359" s="39"/>
      <c r="I359" s="39"/>
      <c r="J359" s="39"/>
      <c r="K359" s="39"/>
      <c r="L359" s="78" t="s">
        <v>42</v>
      </c>
      <c r="M359" s="78" t="s">
        <v>35</v>
      </c>
      <c r="N359" s="58">
        <f>N394+N399+N404</f>
        <v>13650.022000000001</v>
      </c>
      <c r="O359" s="58">
        <f>O394+O399+O404</f>
        <v>10764.081</v>
      </c>
      <c r="P359" s="58">
        <f t="shared" ref="P359:R359" si="53">P394+P399+P404</f>
        <v>17764.38</v>
      </c>
      <c r="Q359" s="58">
        <f t="shared" si="53"/>
        <v>17934.48</v>
      </c>
      <c r="R359" s="58">
        <f t="shared" si="53"/>
        <v>17724.18</v>
      </c>
    </row>
    <row r="360" spans="1:18" s="109" customFormat="1" ht="12">
      <c r="A360" s="38"/>
      <c r="B360" s="39"/>
      <c r="C360" s="39"/>
      <c r="D360" s="39"/>
      <c r="E360" s="39"/>
      <c r="F360" s="39"/>
      <c r="G360" s="39"/>
      <c r="H360" s="39"/>
      <c r="I360" s="39"/>
      <c r="J360" s="39"/>
      <c r="K360" s="39"/>
      <c r="L360" s="78" t="s">
        <v>42</v>
      </c>
      <c r="M360" s="78" t="s">
        <v>40</v>
      </c>
      <c r="N360" s="58">
        <f>N395</f>
        <v>31.248000000000001</v>
      </c>
      <c r="O360" s="58">
        <f>O395</f>
        <v>18.228000000000002</v>
      </c>
      <c r="P360" s="58">
        <f t="shared" ref="P360:R360" si="54">P395</f>
        <v>10.416</v>
      </c>
      <c r="Q360" s="58">
        <f t="shared" si="54"/>
        <v>10.416</v>
      </c>
      <c r="R360" s="58">
        <f t="shared" si="54"/>
        <v>10.416</v>
      </c>
    </row>
    <row r="361" spans="1:18" s="109" customFormat="1" ht="12">
      <c r="A361" s="38"/>
      <c r="B361" s="39"/>
      <c r="C361" s="39"/>
      <c r="D361" s="39"/>
      <c r="E361" s="39"/>
      <c r="F361" s="39"/>
      <c r="G361" s="39"/>
      <c r="H361" s="39"/>
      <c r="I361" s="39"/>
      <c r="J361" s="39"/>
      <c r="K361" s="39"/>
      <c r="L361" s="78" t="s">
        <v>42</v>
      </c>
      <c r="M361" s="78" t="s">
        <v>34</v>
      </c>
      <c r="N361" s="58">
        <f>N375</f>
        <v>0</v>
      </c>
      <c r="O361" s="58">
        <f>O375</f>
        <v>0</v>
      </c>
      <c r="P361" s="58">
        <f t="shared" ref="P361:R361" si="55">P375</f>
        <v>55.54</v>
      </c>
      <c r="Q361" s="58">
        <f t="shared" si="55"/>
        <v>40</v>
      </c>
      <c r="R361" s="58">
        <f t="shared" si="55"/>
        <v>40</v>
      </c>
    </row>
    <row r="362" spans="1:18" s="109" customFormat="1" ht="12">
      <c r="A362" s="38"/>
      <c r="B362" s="39"/>
      <c r="C362" s="39"/>
      <c r="D362" s="39"/>
      <c r="E362" s="39"/>
      <c r="F362" s="39"/>
      <c r="G362" s="39"/>
      <c r="H362" s="39"/>
      <c r="I362" s="39"/>
      <c r="J362" s="39"/>
      <c r="K362" s="39"/>
      <c r="L362" s="78" t="s">
        <v>22</v>
      </c>
      <c r="M362" s="78" t="s">
        <v>36</v>
      </c>
      <c r="N362" s="58">
        <f>N376+N400+N397</f>
        <v>39977.4</v>
      </c>
      <c r="O362" s="58">
        <f>O376+O400+O397</f>
        <v>38477.757000000005</v>
      </c>
      <c r="P362" s="58">
        <f t="shared" ref="P362:R362" si="56">P376+P400+P397</f>
        <v>47142.438999999998</v>
      </c>
      <c r="Q362" s="58">
        <f t="shared" si="56"/>
        <v>54044.200000000004</v>
      </c>
      <c r="R362" s="58">
        <f t="shared" si="56"/>
        <v>54044.200000000004</v>
      </c>
    </row>
    <row r="363" spans="1:18" s="109" customFormat="1" ht="12">
      <c r="A363" s="38"/>
      <c r="B363" s="39"/>
      <c r="C363" s="39"/>
      <c r="D363" s="39"/>
      <c r="E363" s="39"/>
      <c r="F363" s="39"/>
      <c r="G363" s="39"/>
      <c r="H363" s="39"/>
      <c r="I363" s="39"/>
      <c r="J363" s="39"/>
      <c r="K363" s="39"/>
      <c r="L363" s="78" t="s">
        <v>22</v>
      </c>
      <c r="M363" s="78" t="s">
        <v>32</v>
      </c>
      <c r="N363" s="58">
        <f>N377+N389</f>
        <v>19.399999999999999</v>
      </c>
      <c r="O363" s="58">
        <f>O377+O389</f>
        <v>19.399999999999999</v>
      </c>
      <c r="P363" s="58">
        <f t="shared" ref="P363:R363" si="57">P377+P389</f>
        <v>20.399999999999999</v>
      </c>
      <c r="Q363" s="58">
        <f t="shared" si="57"/>
        <v>20.399999999999999</v>
      </c>
      <c r="R363" s="58">
        <f t="shared" si="57"/>
        <v>20.399999999999999</v>
      </c>
    </row>
    <row r="364" spans="1:18" s="107" customFormat="1" ht="14.25" customHeight="1">
      <c r="A364" s="604" t="s">
        <v>675</v>
      </c>
      <c r="B364" s="468">
        <v>1801</v>
      </c>
      <c r="C364" s="458"/>
      <c r="D364" s="458"/>
      <c r="E364" s="173"/>
      <c r="F364" s="458"/>
      <c r="G364" s="458"/>
      <c r="H364" s="458"/>
      <c r="I364" s="458"/>
      <c r="J364" s="458"/>
      <c r="K364" s="458"/>
      <c r="L364" s="468"/>
      <c r="M364" s="468"/>
      <c r="N364" s="99">
        <f t="shared" ref="N364:O364" si="58">SUM(N365:N377)</f>
        <v>4425.192</v>
      </c>
      <c r="O364" s="99">
        <f t="shared" si="58"/>
        <v>3995.6439999999998</v>
      </c>
      <c r="P364" s="99">
        <f t="shared" ref="P364:R364" si="59">SUM(P365:P377)</f>
        <v>4644.4240000000009</v>
      </c>
      <c r="Q364" s="99">
        <f t="shared" si="59"/>
        <v>4628.8430000000008</v>
      </c>
      <c r="R364" s="99">
        <f t="shared" si="59"/>
        <v>4628.8430000000008</v>
      </c>
    </row>
    <row r="365" spans="1:18" s="184" customFormat="1" ht="96" customHeight="1">
      <c r="A365" s="605"/>
      <c r="B365" s="509" t="s">
        <v>678</v>
      </c>
      <c r="C365" s="446" t="s">
        <v>211</v>
      </c>
      <c r="D365" s="446" t="s">
        <v>770</v>
      </c>
      <c r="E365" s="446" t="s">
        <v>212</v>
      </c>
      <c r="F365" s="446" t="s">
        <v>213</v>
      </c>
      <c r="G365" s="446" t="s">
        <v>771</v>
      </c>
      <c r="H365" s="446" t="s">
        <v>214</v>
      </c>
      <c r="I365" s="446" t="s">
        <v>1167</v>
      </c>
      <c r="J365" s="464" t="s">
        <v>215</v>
      </c>
      <c r="K365" s="464" t="s">
        <v>216</v>
      </c>
      <c r="L365" s="182" t="s">
        <v>31</v>
      </c>
      <c r="M365" s="182" t="s">
        <v>36</v>
      </c>
      <c r="N365" s="183">
        <v>3774.627</v>
      </c>
      <c r="O365" s="183">
        <v>3457.1840000000002</v>
      </c>
      <c r="P365" s="183">
        <v>3940.1570000000002</v>
      </c>
      <c r="Q365" s="183">
        <v>3940.1570000000002</v>
      </c>
      <c r="R365" s="183">
        <v>3940.1570000000002</v>
      </c>
    </row>
    <row r="366" spans="1:18" s="184" customFormat="1" ht="96.75" customHeight="1">
      <c r="A366" s="242"/>
      <c r="B366" s="481" t="s">
        <v>679</v>
      </c>
      <c r="C366" s="431" t="s">
        <v>252</v>
      </c>
      <c r="D366" s="431" t="s">
        <v>253</v>
      </c>
      <c r="E366" s="431" t="s">
        <v>254</v>
      </c>
      <c r="F366" s="431" t="s">
        <v>255</v>
      </c>
      <c r="G366" s="431" t="s">
        <v>256</v>
      </c>
      <c r="H366" s="463" t="s">
        <v>249</v>
      </c>
      <c r="I366" s="458" t="s">
        <v>257</v>
      </c>
      <c r="J366" s="458" t="s">
        <v>88</v>
      </c>
      <c r="K366" s="431" t="s">
        <v>258</v>
      </c>
      <c r="L366" s="182"/>
      <c r="M366" s="182"/>
      <c r="N366" s="183"/>
      <c r="O366" s="183"/>
      <c r="P366" s="183"/>
      <c r="Q366" s="183"/>
      <c r="R366" s="183"/>
    </row>
    <row r="367" spans="1:18" s="184" customFormat="1" ht="120">
      <c r="A367" s="242"/>
      <c r="B367" s="185"/>
      <c r="C367" s="431" t="s">
        <v>259</v>
      </c>
      <c r="D367" s="431" t="s">
        <v>260</v>
      </c>
      <c r="E367" s="431" t="s">
        <v>261</v>
      </c>
      <c r="F367" s="431" t="s">
        <v>262</v>
      </c>
      <c r="G367" s="431" t="s">
        <v>263</v>
      </c>
      <c r="H367" s="431" t="s">
        <v>264</v>
      </c>
      <c r="I367" s="458" t="s">
        <v>265</v>
      </c>
      <c r="J367" s="458" t="s">
        <v>88</v>
      </c>
      <c r="K367" s="458" t="s">
        <v>266</v>
      </c>
      <c r="L367" s="182"/>
      <c r="M367" s="182"/>
      <c r="N367" s="183"/>
      <c r="O367" s="183"/>
      <c r="P367" s="183"/>
      <c r="Q367" s="183"/>
      <c r="R367" s="183"/>
    </row>
    <row r="368" spans="1:18" s="184" customFormat="1" ht="108" customHeight="1">
      <c r="A368" s="242"/>
      <c r="B368" s="95" t="s">
        <v>680</v>
      </c>
      <c r="C368" s="431" t="s">
        <v>188</v>
      </c>
      <c r="D368" s="431" t="s">
        <v>229</v>
      </c>
      <c r="E368" s="431" t="s">
        <v>267</v>
      </c>
      <c r="F368" s="431" t="s">
        <v>268</v>
      </c>
      <c r="G368" s="431" t="s">
        <v>966</v>
      </c>
      <c r="H368" s="431" t="s">
        <v>269</v>
      </c>
      <c r="I368" s="431" t="s">
        <v>233</v>
      </c>
      <c r="J368" s="431" t="s">
        <v>88</v>
      </c>
      <c r="K368" s="431" t="s">
        <v>270</v>
      </c>
      <c r="L368" s="182"/>
      <c r="M368" s="182"/>
      <c r="N368" s="183"/>
      <c r="O368" s="183"/>
      <c r="P368" s="183"/>
      <c r="Q368" s="183"/>
      <c r="R368" s="183"/>
    </row>
    <row r="369" spans="1:18" s="184" customFormat="1" ht="132.75" customHeight="1">
      <c r="A369" s="242"/>
      <c r="B369" s="95" t="s">
        <v>681</v>
      </c>
      <c r="C369" s="432" t="s">
        <v>423</v>
      </c>
      <c r="D369" s="49" t="s">
        <v>424</v>
      </c>
      <c r="E369" s="432" t="s">
        <v>425</v>
      </c>
      <c r="F369" s="431" t="s">
        <v>271</v>
      </c>
      <c r="G369" s="431" t="s">
        <v>272</v>
      </c>
      <c r="H369" s="463" t="s">
        <v>249</v>
      </c>
      <c r="I369" s="431" t="s">
        <v>273</v>
      </c>
      <c r="J369" s="463" t="s">
        <v>88</v>
      </c>
      <c r="K369" s="463" t="s">
        <v>274</v>
      </c>
      <c r="L369" s="182"/>
      <c r="M369" s="182"/>
      <c r="N369" s="183"/>
      <c r="O369" s="183"/>
      <c r="P369" s="183"/>
      <c r="Q369" s="183"/>
      <c r="R369" s="183"/>
    </row>
    <row r="370" spans="1:18" s="184" customFormat="1" ht="181.5" customHeight="1">
      <c r="A370" s="242"/>
      <c r="B370" s="95" t="s">
        <v>682</v>
      </c>
      <c r="C370" s="431" t="s">
        <v>1201</v>
      </c>
      <c r="D370" s="431" t="s">
        <v>1202</v>
      </c>
      <c r="E370" s="431" t="s">
        <v>1204</v>
      </c>
      <c r="F370" s="458" t="s">
        <v>285</v>
      </c>
      <c r="G370" s="458" t="s">
        <v>286</v>
      </c>
      <c r="H370" s="173" t="s">
        <v>287</v>
      </c>
      <c r="I370" s="458" t="s">
        <v>798</v>
      </c>
      <c r="J370" s="173" t="s">
        <v>288</v>
      </c>
      <c r="K370" s="174" t="s">
        <v>289</v>
      </c>
      <c r="L370" s="182"/>
      <c r="M370" s="182"/>
      <c r="N370" s="183"/>
      <c r="O370" s="183"/>
      <c r="P370" s="183"/>
      <c r="Q370" s="183"/>
      <c r="R370" s="183"/>
    </row>
    <row r="371" spans="1:18" s="184" customFormat="1" ht="155.25" customHeight="1">
      <c r="A371" s="242"/>
      <c r="B371" s="95" t="s">
        <v>683</v>
      </c>
      <c r="C371" s="431" t="s">
        <v>294</v>
      </c>
      <c r="D371" s="431" t="s">
        <v>295</v>
      </c>
      <c r="E371" s="463" t="s">
        <v>296</v>
      </c>
      <c r="F371" s="431" t="s">
        <v>297</v>
      </c>
      <c r="G371" s="431" t="s">
        <v>243</v>
      </c>
      <c r="H371" s="431" t="s">
        <v>298</v>
      </c>
      <c r="I371" s="431" t="s">
        <v>299</v>
      </c>
      <c r="J371" s="498" t="s">
        <v>218</v>
      </c>
      <c r="K371" s="498" t="s">
        <v>300</v>
      </c>
      <c r="L371" s="182"/>
      <c r="M371" s="182"/>
      <c r="N371" s="183"/>
      <c r="O371" s="183"/>
      <c r="P371" s="183"/>
      <c r="Q371" s="183"/>
      <c r="R371" s="183"/>
    </row>
    <row r="372" spans="1:18" s="184" customFormat="1" ht="107.25" customHeight="1">
      <c r="A372" s="242"/>
      <c r="B372" s="95" t="s">
        <v>684</v>
      </c>
      <c r="C372" s="267" t="s">
        <v>969</v>
      </c>
      <c r="D372" s="268" t="s">
        <v>967</v>
      </c>
      <c r="E372" s="268" t="s">
        <v>968</v>
      </c>
      <c r="F372" s="268" t="s">
        <v>275</v>
      </c>
      <c r="G372" s="268" t="s">
        <v>243</v>
      </c>
      <c r="H372" s="268" t="s">
        <v>244</v>
      </c>
      <c r="I372" s="275" t="s">
        <v>276</v>
      </c>
      <c r="J372" s="275" t="s">
        <v>67</v>
      </c>
      <c r="K372" s="276" t="s">
        <v>277</v>
      </c>
      <c r="L372" s="182" t="s">
        <v>36</v>
      </c>
      <c r="M372" s="182" t="s">
        <v>31</v>
      </c>
      <c r="N372" s="183">
        <v>50.863</v>
      </c>
      <c r="O372" s="183">
        <v>32.314</v>
      </c>
      <c r="P372" s="183">
        <v>50.5</v>
      </c>
      <c r="Q372" s="183">
        <v>50.5</v>
      </c>
      <c r="R372" s="183">
        <v>50.5</v>
      </c>
    </row>
    <row r="373" spans="1:18" s="184" customFormat="1" ht="120">
      <c r="A373" s="242"/>
      <c r="B373" s="182"/>
      <c r="C373" s="273" t="s">
        <v>418</v>
      </c>
      <c r="D373" s="273" t="s">
        <v>419</v>
      </c>
      <c r="E373" s="273" t="s">
        <v>420</v>
      </c>
      <c r="F373" s="273" t="s">
        <v>421</v>
      </c>
      <c r="G373" s="273" t="s">
        <v>422</v>
      </c>
      <c r="H373" s="273" t="s">
        <v>59</v>
      </c>
      <c r="I373" s="273" t="s">
        <v>404</v>
      </c>
      <c r="J373" s="274" t="s">
        <v>69</v>
      </c>
      <c r="K373" s="274" t="s">
        <v>405</v>
      </c>
      <c r="L373" s="182" t="s">
        <v>36</v>
      </c>
      <c r="M373" s="182" t="s">
        <v>34</v>
      </c>
      <c r="N373" s="183">
        <f>579.104+12.943</f>
        <v>592.04700000000003</v>
      </c>
      <c r="O373" s="183">
        <f>485.815+12.943</f>
        <v>498.75799999999998</v>
      </c>
      <c r="P373" s="183">
        <f>579.1+12.986</f>
        <v>592.08600000000001</v>
      </c>
      <c r="Q373" s="183">
        <f>579.1+12.986</f>
        <v>592.08600000000001</v>
      </c>
      <c r="R373" s="183">
        <f>579.1+12.986</f>
        <v>592.08600000000001</v>
      </c>
    </row>
    <row r="374" spans="1:18" s="184" customFormat="1" ht="97.5" customHeight="1">
      <c r="A374" s="242"/>
      <c r="B374" s="182"/>
      <c r="C374" s="448" t="s">
        <v>278</v>
      </c>
      <c r="D374" s="448" t="s">
        <v>279</v>
      </c>
      <c r="E374" s="499" t="s">
        <v>280</v>
      </c>
      <c r="F374" s="448" t="s">
        <v>281</v>
      </c>
      <c r="G374" s="448" t="s">
        <v>256</v>
      </c>
      <c r="H374" s="448" t="s">
        <v>756</v>
      </c>
      <c r="I374" s="448" t="s">
        <v>757</v>
      </c>
      <c r="J374" s="499" t="s">
        <v>88</v>
      </c>
      <c r="K374" s="499" t="s">
        <v>284</v>
      </c>
      <c r="L374" s="182"/>
      <c r="M374" s="182"/>
      <c r="N374" s="183"/>
      <c r="O374" s="183"/>
      <c r="P374" s="183"/>
      <c r="Q374" s="183"/>
      <c r="R374" s="183"/>
    </row>
    <row r="375" spans="1:18" s="107" customFormat="1" ht="120" customHeight="1">
      <c r="A375" s="51"/>
      <c r="B375" s="481" t="s">
        <v>892</v>
      </c>
      <c r="C375" s="431" t="s">
        <v>188</v>
      </c>
      <c r="D375" s="431" t="s">
        <v>229</v>
      </c>
      <c r="E375" s="431" t="s">
        <v>267</v>
      </c>
      <c r="F375" s="431" t="s">
        <v>268</v>
      </c>
      <c r="G375" s="431" t="s">
        <v>121</v>
      </c>
      <c r="H375" s="431" t="s">
        <v>269</v>
      </c>
      <c r="I375" s="431" t="s">
        <v>233</v>
      </c>
      <c r="J375" s="431" t="s">
        <v>88</v>
      </c>
      <c r="K375" s="431" t="s">
        <v>270</v>
      </c>
      <c r="L375" s="311" t="s">
        <v>42</v>
      </c>
      <c r="M375" s="182" t="s">
        <v>34</v>
      </c>
      <c r="N375" s="183">
        <v>0</v>
      </c>
      <c r="O375" s="183">
        <v>0</v>
      </c>
      <c r="P375" s="183">
        <f>40+15.54</f>
        <v>55.54</v>
      </c>
      <c r="Q375" s="183">
        <v>40</v>
      </c>
      <c r="R375" s="183">
        <v>40</v>
      </c>
    </row>
    <row r="376" spans="1:18" s="107" customFormat="1" ht="77.25" customHeight="1">
      <c r="A376" s="51"/>
      <c r="B376" s="660" t="s">
        <v>893</v>
      </c>
      <c r="C376" s="532" t="s">
        <v>188</v>
      </c>
      <c r="D376" s="532" t="s">
        <v>229</v>
      </c>
      <c r="E376" s="532" t="s">
        <v>190</v>
      </c>
      <c r="F376" s="532" t="s">
        <v>230</v>
      </c>
      <c r="G376" s="532" t="s">
        <v>231</v>
      </c>
      <c r="H376" s="532" t="s">
        <v>232</v>
      </c>
      <c r="I376" s="532" t="s">
        <v>233</v>
      </c>
      <c r="J376" s="532" t="s">
        <v>88</v>
      </c>
      <c r="K376" s="532" t="s">
        <v>234</v>
      </c>
      <c r="L376" s="311" t="s">
        <v>22</v>
      </c>
      <c r="M376" s="182" t="s">
        <v>36</v>
      </c>
      <c r="N376" s="183">
        <v>1.8</v>
      </c>
      <c r="O376" s="183">
        <v>1.5329999999999999</v>
      </c>
      <c r="P376" s="183">
        <v>4.1000000000000002E-2</v>
      </c>
      <c r="Q376" s="183">
        <v>0</v>
      </c>
      <c r="R376" s="183">
        <v>0</v>
      </c>
    </row>
    <row r="377" spans="1:18" s="184" customFormat="1" ht="77.25" customHeight="1">
      <c r="A377" s="243"/>
      <c r="B377" s="661"/>
      <c r="C377" s="543"/>
      <c r="D377" s="543"/>
      <c r="E377" s="543"/>
      <c r="F377" s="543"/>
      <c r="G377" s="543"/>
      <c r="H377" s="543"/>
      <c r="I377" s="543"/>
      <c r="J377" s="543"/>
      <c r="K377" s="543"/>
      <c r="L377" s="311" t="s">
        <v>22</v>
      </c>
      <c r="M377" s="182" t="s">
        <v>32</v>
      </c>
      <c r="N377" s="183">
        <v>5.8550000000000004</v>
      </c>
      <c r="O377" s="183">
        <v>5.8550000000000004</v>
      </c>
      <c r="P377" s="183">
        <v>6.1</v>
      </c>
      <c r="Q377" s="183">
        <v>6.1</v>
      </c>
      <c r="R377" s="183">
        <v>6.1</v>
      </c>
    </row>
    <row r="378" spans="1:18" s="107" customFormat="1" ht="14.25" customHeight="1">
      <c r="A378" s="606" t="s">
        <v>676</v>
      </c>
      <c r="B378" s="468">
        <v>1802</v>
      </c>
      <c r="C378" s="458"/>
      <c r="D378" s="458"/>
      <c r="E378" s="173"/>
      <c r="F378" s="458"/>
      <c r="G378" s="458"/>
      <c r="H378" s="458"/>
      <c r="I378" s="458"/>
      <c r="J378" s="458"/>
      <c r="K378" s="458"/>
      <c r="L378" s="468"/>
      <c r="M378" s="468"/>
      <c r="N378" s="99">
        <f t="shared" ref="N378:R378" si="60">SUM(N379:N389)</f>
        <v>10263.908000000001</v>
      </c>
      <c r="O378" s="99">
        <f t="shared" si="60"/>
        <v>9935.3340000000007</v>
      </c>
      <c r="P378" s="99">
        <f t="shared" si="60"/>
        <v>10617.815999999999</v>
      </c>
      <c r="Q378" s="99">
        <f t="shared" si="60"/>
        <v>10617.856999999998</v>
      </c>
      <c r="R378" s="99">
        <f t="shared" si="60"/>
        <v>10617.856999999998</v>
      </c>
    </row>
    <row r="379" spans="1:18" s="184" customFormat="1" ht="118.5" customHeight="1">
      <c r="A379" s="605"/>
      <c r="B379" s="509" t="s">
        <v>678</v>
      </c>
      <c r="C379" s="446" t="s">
        <v>211</v>
      </c>
      <c r="D379" s="446" t="s">
        <v>770</v>
      </c>
      <c r="E379" s="446" t="s">
        <v>212</v>
      </c>
      <c r="F379" s="446" t="s">
        <v>213</v>
      </c>
      <c r="G379" s="446" t="s">
        <v>771</v>
      </c>
      <c r="H379" s="446" t="s">
        <v>214</v>
      </c>
      <c r="I379" s="446" t="s">
        <v>1054</v>
      </c>
      <c r="J379" s="464" t="s">
        <v>215</v>
      </c>
      <c r="K379" s="464" t="s">
        <v>216</v>
      </c>
      <c r="L379" s="182" t="s">
        <v>31</v>
      </c>
      <c r="M379" s="182" t="s">
        <v>36</v>
      </c>
      <c r="N379" s="183">
        <v>8706.473</v>
      </c>
      <c r="O379" s="183">
        <v>8603.5560000000005</v>
      </c>
      <c r="P379" s="183">
        <v>9061.0020000000004</v>
      </c>
      <c r="Q379" s="183">
        <v>9061.0429999999997</v>
      </c>
      <c r="R379" s="183">
        <v>9061.0429999999997</v>
      </c>
    </row>
    <row r="380" spans="1:18" s="184" customFormat="1" ht="96" customHeight="1">
      <c r="A380" s="242"/>
      <c r="B380" s="481" t="s">
        <v>679</v>
      </c>
      <c r="C380" s="431" t="s">
        <v>252</v>
      </c>
      <c r="D380" s="431" t="s">
        <v>253</v>
      </c>
      <c r="E380" s="431" t="s">
        <v>254</v>
      </c>
      <c r="F380" s="431" t="s">
        <v>255</v>
      </c>
      <c r="G380" s="431" t="s">
        <v>256</v>
      </c>
      <c r="H380" s="463" t="s">
        <v>249</v>
      </c>
      <c r="I380" s="458" t="s">
        <v>257</v>
      </c>
      <c r="J380" s="458" t="s">
        <v>88</v>
      </c>
      <c r="K380" s="431" t="s">
        <v>258</v>
      </c>
      <c r="L380" s="43"/>
      <c r="M380" s="43"/>
      <c r="N380" s="183"/>
      <c r="O380" s="183"/>
      <c r="P380" s="183"/>
      <c r="Q380" s="183"/>
      <c r="R380" s="183"/>
    </row>
    <row r="381" spans="1:18" s="184" customFormat="1" ht="110.25" customHeight="1">
      <c r="A381" s="242"/>
      <c r="B381" s="185"/>
      <c r="C381" s="431" t="s">
        <v>259</v>
      </c>
      <c r="D381" s="431" t="s">
        <v>260</v>
      </c>
      <c r="E381" s="431" t="s">
        <v>261</v>
      </c>
      <c r="F381" s="431" t="s">
        <v>262</v>
      </c>
      <c r="G381" s="431" t="s">
        <v>263</v>
      </c>
      <c r="H381" s="431" t="s">
        <v>264</v>
      </c>
      <c r="I381" s="458" t="s">
        <v>265</v>
      </c>
      <c r="J381" s="458" t="s">
        <v>88</v>
      </c>
      <c r="K381" s="458" t="s">
        <v>266</v>
      </c>
      <c r="L381" s="182"/>
      <c r="M381" s="182"/>
      <c r="N381" s="183"/>
      <c r="O381" s="183"/>
      <c r="P381" s="183"/>
      <c r="Q381" s="183"/>
      <c r="R381" s="183"/>
    </row>
    <row r="382" spans="1:18" s="184" customFormat="1" ht="108.75" customHeight="1">
      <c r="A382" s="242"/>
      <c r="B382" s="95" t="s">
        <v>680</v>
      </c>
      <c r="C382" s="431" t="s">
        <v>188</v>
      </c>
      <c r="D382" s="431" t="s">
        <v>229</v>
      </c>
      <c r="E382" s="431" t="s">
        <v>267</v>
      </c>
      <c r="F382" s="431" t="s">
        <v>268</v>
      </c>
      <c r="G382" s="431" t="s">
        <v>121</v>
      </c>
      <c r="H382" s="431" t="s">
        <v>269</v>
      </c>
      <c r="I382" s="431" t="s">
        <v>233</v>
      </c>
      <c r="J382" s="431" t="s">
        <v>88</v>
      </c>
      <c r="K382" s="431" t="s">
        <v>270</v>
      </c>
      <c r="L382" s="182"/>
      <c r="M382" s="182"/>
      <c r="N382" s="183"/>
      <c r="O382" s="183"/>
      <c r="P382" s="183"/>
      <c r="Q382" s="183"/>
      <c r="R382" s="183"/>
    </row>
    <row r="383" spans="1:18" s="184" customFormat="1" ht="144.75" customHeight="1">
      <c r="A383" s="242"/>
      <c r="B383" s="95" t="s">
        <v>681</v>
      </c>
      <c r="C383" s="432" t="s">
        <v>423</v>
      </c>
      <c r="D383" s="49" t="s">
        <v>424</v>
      </c>
      <c r="E383" s="432" t="s">
        <v>425</v>
      </c>
      <c r="F383" s="431" t="s">
        <v>271</v>
      </c>
      <c r="G383" s="431" t="s">
        <v>272</v>
      </c>
      <c r="H383" s="463" t="s">
        <v>249</v>
      </c>
      <c r="I383" s="431" t="s">
        <v>273</v>
      </c>
      <c r="J383" s="463" t="s">
        <v>88</v>
      </c>
      <c r="K383" s="463" t="s">
        <v>274</v>
      </c>
      <c r="L383" s="182"/>
      <c r="M383" s="182"/>
      <c r="N383" s="183"/>
      <c r="O383" s="183"/>
      <c r="P383" s="183"/>
      <c r="Q383" s="183"/>
      <c r="R383" s="183"/>
    </row>
    <row r="384" spans="1:18" s="184" customFormat="1" ht="180" customHeight="1">
      <c r="A384" s="242"/>
      <c r="B384" s="95" t="s">
        <v>682</v>
      </c>
      <c r="C384" s="431" t="s">
        <v>1201</v>
      </c>
      <c r="D384" s="431" t="s">
        <v>1202</v>
      </c>
      <c r="E384" s="431" t="s">
        <v>1203</v>
      </c>
      <c r="F384" s="458" t="s">
        <v>285</v>
      </c>
      <c r="G384" s="458" t="s">
        <v>286</v>
      </c>
      <c r="H384" s="173" t="s">
        <v>287</v>
      </c>
      <c r="I384" s="458" t="s">
        <v>798</v>
      </c>
      <c r="J384" s="173" t="s">
        <v>288</v>
      </c>
      <c r="K384" s="174" t="s">
        <v>289</v>
      </c>
      <c r="L384" s="182"/>
      <c r="M384" s="182"/>
      <c r="N384" s="183"/>
      <c r="O384" s="183"/>
      <c r="P384" s="183"/>
      <c r="Q384" s="183"/>
      <c r="R384" s="183"/>
    </row>
    <row r="385" spans="1:18" s="184" customFormat="1" ht="156.75" customHeight="1">
      <c r="A385" s="242"/>
      <c r="B385" s="95" t="s">
        <v>683</v>
      </c>
      <c r="C385" s="431" t="s">
        <v>294</v>
      </c>
      <c r="D385" s="431" t="s">
        <v>295</v>
      </c>
      <c r="E385" s="463" t="s">
        <v>296</v>
      </c>
      <c r="F385" s="431" t="s">
        <v>297</v>
      </c>
      <c r="G385" s="431" t="s">
        <v>797</v>
      </c>
      <c r="H385" s="431" t="s">
        <v>298</v>
      </c>
      <c r="I385" s="431" t="s">
        <v>970</v>
      </c>
      <c r="J385" s="498" t="s">
        <v>218</v>
      </c>
      <c r="K385" s="498" t="s">
        <v>300</v>
      </c>
      <c r="L385" s="182"/>
      <c r="M385" s="182"/>
      <c r="N385" s="183"/>
      <c r="O385" s="183"/>
      <c r="P385" s="183"/>
      <c r="Q385" s="183"/>
      <c r="R385" s="183"/>
    </row>
    <row r="386" spans="1:18" s="184" customFormat="1" ht="96.75" customHeight="1">
      <c r="A386" s="242"/>
      <c r="B386" s="95" t="s">
        <v>684</v>
      </c>
      <c r="C386" s="267" t="s">
        <v>969</v>
      </c>
      <c r="D386" s="268" t="s">
        <v>967</v>
      </c>
      <c r="E386" s="268" t="s">
        <v>968</v>
      </c>
      <c r="F386" s="268" t="s">
        <v>275</v>
      </c>
      <c r="G386" s="268" t="s">
        <v>243</v>
      </c>
      <c r="H386" s="268" t="s">
        <v>244</v>
      </c>
      <c r="I386" s="275" t="s">
        <v>276</v>
      </c>
      <c r="J386" s="275" t="s">
        <v>67</v>
      </c>
      <c r="K386" s="276" t="s">
        <v>277</v>
      </c>
      <c r="L386" s="182" t="s">
        <v>36</v>
      </c>
      <c r="M386" s="182" t="s">
        <v>31</v>
      </c>
      <c r="N386" s="183">
        <v>161.137</v>
      </c>
      <c r="O386" s="183">
        <v>99.29</v>
      </c>
      <c r="P386" s="183">
        <v>159.80000000000001</v>
      </c>
      <c r="Q386" s="183">
        <v>159.80000000000001</v>
      </c>
      <c r="R386" s="183">
        <v>159.80000000000001</v>
      </c>
    </row>
    <row r="387" spans="1:18" s="184" customFormat="1" ht="84" customHeight="1">
      <c r="A387" s="242"/>
      <c r="B387" s="95" t="s">
        <v>758</v>
      </c>
      <c r="C387" s="273" t="s">
        <v>418</v>
      </c>
      <c r="D387" s="273" t="s">
        <v>419</v>
      </c>
      <c r="E387" s="273" t="s">
        <v>420</v>
      </c>
      <c r="F387" s="273" t="s">
        <v>421</v>
      </c>
      <c r="G387" s="273" t="s">
        <v>422</v>
      </c>
      <c r="H387" s="273" t="s">
        <v>59</v>
      </c>
      <c r="I387" s="273" t="s">
        <v>404</v>
      </c>
      <c r="J387" s="274" t="s">
        <v>69</v>
      </c>
      <c r="K387" s="274" t="s">
        <v>405</v>
      </c>
      <c r="L387" s="182" t="s">
        <v>36</v>
      </c>
      <c r="M387" s="182" t="s">
        <v>34</v>
      </c>
      <c r="N387" s="183">
        <f>1339.896+42.857</f>
        <v>1382.7529999999999</v>
      </c>
      <c r="O387" s="183">
        <f>1176.086+42.857</f>
        <v>1218.943</v>
      </c>
      <c r="P387" s="183">
        <f>1339.9+42.814</f>
        <v>1382.7140000000002</v>
      </c>
      <c r="Q387" s="183">
        <f t="shared" ref="Q387:R387" si="61">1339.9+42.814</f>
        <v>1382.7140000000002</v>
      </c>
      <c r="R387" s="183">
        <f t="shared" si="61"/>
        <v>1382.7140000000002</v>
      </c>
    </row>
    <row r="388" spans="1:18" s="184" customFormat="1" ht="97.5" customHeight="1">
      <c r="A388" s="242"/>
      <c r="B388" s="95" t="s">
        <v>759</v>
      </c>
      <c r="C388" s="448" t="s">
        <v>278</v>
      </c>
      <c r="D388" s="448" t="s">
        <v>279</v>
      </c>
      <c r="E388" s="448" t="s">
        <v>280</v>
      </c>
      <c r="F388" s="448" t="s">
        <v>281</v>
      </c>
      <c r="G388" s="448" t="s">
        <v>760</v>
      </c>
      <c r="H388" s="448" t="s">
        <v>756</v>
      </c>
      <c r="I388" s="448" t="s">
        <v>757</v>
      </c>
      <c r="J388" s="499" t="s">
        <v>88</v>
      </c>
      <c r="K388" s="499" t="s">
        <v>284</v>
      </c>
      <c r="L388" s="182"/>
      <c r="M388" s="182"/>
      <c r="N388" s="183"/>
      <c r="O388" s="183"/>
      <c r="P388" s="183"/>
      <c r="Q388" s="183"/>
      <c r="R388" s="183"/>
    </row>
    <row r="389" spans="1:18" s="184" customFormat="1" ht="144.75" customHeight="1">
      <c r="A389" s="248"/>
      <c r="B389" s="95" t="s">
        <v>685</v>
      </c>
      <c r="C389" s="448" t="s">
        <v>188</v>
      </c>
      <c r="D389" s="448" t="s">
        <v>229</v>
      </c>
      <c r="E389" s="448" t="s">
        <v>190</v>
      </c>
      <c r="F389" s="448" t="s">
        <v>230</v>
      </c>
      <c r="G389" s="448" t="s">
        <v>231</v>
      </c>
      <c r="H389" s="448" t="s">
        <v>232</v>
      </c>
      <c r="I389" s="448" t="s">
        <v>233</v>
      </c>
      <c r="J389" s="448" t="s">
        <v>88</v>
      </c>
      <c r="K389" s="448" t="s">
        <v>234</v>
      </c>
      <c r="L389" s="182" t="s">
        <v>22</v>
      </c>
      <c r="M389" s="182" t="s">
        <v>32</v>
      </c>
      <c r="N389" s="183">
        <v>13.545</v>
      </c>
      <c r="O389" s="183">
        <v>13.545</v>
      </c>
      <c r="P389" s="183">
        <v>14.3</v>
      </c>
      <c r="Q389" s="183">
        <v>14.3</v>
      </c>
      <c r="R389" s="183">
        <v>14.3</v>
      </c>
    </row>
    <row r="390" spans="1:18" s="107" customFormat="1" ht="132" customHeight="1">
      <c r="A390" s="49" t="s">
        <v>619</v>
      </c>
      <c r="B390" s="487">
        <v>1805</v>
      </c>
      <c r="C390" s="273" t="s">
        <v>418</v>
      </c>
      <c r="D390" s="273" t="s">
        <v>419</v>
      </c>
      <c r="E390" s="273" t="s">
        <v>420</v>
      </c>
      <c r="F390" s="273" t="s">
        <v>421</v>
      </c>
      <c r="G390" s="273" t="s">
        <v>422</v>
      </c>
      <c r="H390" s="273" t="s">
        <v>59</v>
      </c>
      <c r="I390" s="545" t="s">
        <v>404</v>
      </c>
      <c r="J390" s="547" t="s">
        <v>69</v>
      </c>
      <c r="K390" s="547" t="s">
        <v>405</v>
      </c>
      <c r="L390" s="487" t="s">
        <v>36</v>
      </c>
      <c r="M390" s="487" t="s">
        <v>34</v>
      </c>
      <c r="N390" s="207">
        <f>45.707+223.157+4995.345+1315.863+1357.287+640</f>
        <v>8577.3590000000004</v>
      </c>
      <c r="O390" s="207">
        <f>45.707+223.157+4995.345+1315.863+1353.15+410.7</f>
        <v>8343.9220000000023</v>
      </c>
      <c r="P390" s="207">
        <f>71.079+347.034+5820.031+1013+1000+1285</f>
        <v>9536.1440000000002</v>
      </c>
      <c r="Q390" s="207">
        <f>43.2+288.9+5403.3+1013+1000+1285</f>
        <v>9033.4000000000015</v>
      </c>
      <c r="R390" s="207">
        <f>43.2+288.9+5403.3+1013+1000+1285</f>
        <v>9033.4000000000015</v>
      </c>
    </row>
    <row r="391" spans="1:18" s="107" customFormat="1" ht="108.75" hidden="1" customHeight="1">
      <c r="A391" s="45"/>
      <c r="B391" s="433"/>
      <c r="C391" s="474" t="s">
        <v>367</v>
      </c>
      <c r="D391" s="474" t="s">
        <v>67</v>
      </c>
      <c r="E391" s="474" t="s">
        <v>368</v>
      </c>
      <c r="F391" s="474" t="s">
        <v>366</v>
      </c>
      <c r="G391" s="474" t="s">
        <v>67</v>
      </c>
      <c r="H391" s="474" t="s">
        <v>78</v>
      </c>
      <c r="I391" s="542"/>
      <c r="J391" s="548"/>
      <c r="K391" s="548"/>
      <c r="L391" s="433"/>
      <c r="M391" s="433"/>
      <c r="N391" s="55"/>
      <c r="O391" s="55"/>
      <c r="P391" s="55"/>
      <c r="Q391" s="376"/>
      <c r="R391" s="162"/>
    </row>
    <row r="392" spans="1:18" s="107" customFormat="1" ht="108.75" customHeight="1">
      <c r="A392" s="102" t="s">
        <v>1025</v>
      </c>
      <c r="B392" s="487">
        <v>1807</v>
      </c>
      <c r="C392" s="273"/>
      <c r="D392" s="273"/>
      <c r="E392" s="273"/>
      <c r="F392" s="273"/>
      <c r="G392" s="273"/>
      <c r="H392" s="273"/>
      <c r="I392" s="589"/>
      <c r="J392" s="643"/>
      <c r="K392" s="643"/>
      <c r="L392" s="487" t="s">
        <v>36</v>
      </c>
      <c r="M392" s="487" t="s">
        <v>34</v>
      </c>
      <c r="N392" s="207">
        <f>2.466+1.711+8.354</f>
        <v>12.530999999999999</v>
      </c>
      <c r="O392" s="207">
        <f>2.466+1.711+8.354</f>
        <v>12.530999999999999</v>
      </c>
      <c r="P392" s="207">
        <v>0</v>
      </c>
      <c r="Q392" s="207">
        <v>0</v>
      </c>
      <c r="R392" s="207">
        <v>0</v>
      </c>
    </row>
    <row r="393" spans="1:18" s="107" customFormat="1" ht="51.75" customHeight="1">
      <c r="A393" s="552" t="s">
        <v>620</v>
      </c>
      <c r="B393" s="430" t="s">
        <v>621</v>
      </c>
      <c r="C393" s="544" t="s">
        <v>221</v>
      </c>
      <c r="D393" s="544" t="s">
        <v>223</v>
      </c>
      <c r="E393" s="544" t="s">
        <v>222</v>
      </c>
      <c r="F393" s="578" t="s">
        <v>224</v>
      </c>
      <c r="G393" s="544" t="s">
        <v>225</v>
      </c>
      <c r="H393" s="577" t="s">
        <v>226</v>
      </c>
      <c r="I393" s="542" t="s">
        <v>227</v>
      </c>
      <c r="J393" s="542" t="s">
        <v>71</v>
      </c>
      <c r="K393" s="548" t="s">
        <v>228</v>
      </c>
      <c r="L393" s="430" t="s">
        <v>42</v>
      </c>
      <c r="M393" s="430" t="s">
        <v>31</v>
      </c>
      <c r="N393" s="50">
        <v>140.61600000000001</v>
      </c>
      <c r="O393" s="50">
        <v>140.61600000000001</v>
      </c>
      <c r="P393" s="50">
        <v>197.904</v>
      </c>
      <c r="Q393" s="50">
        <v>197.904</v>
      </c>
      <c r="R393" s="50">
        <v>197.904</v>
      </c>
    </row>
    <row r="394" spans="1:18" s="107" customFormat="1" ht="51.75" customHeight="1">
      <c r="A394" s="552"/>
      <c r="B394" s="430"/>
      <c r="C394" s="544"/>
      <c r="D394" s="544"/>
      <c r="E394" s="544"/>
      <c r="F394" s="578"/>
      <c r="G394" s="544"/>
      <c r="H394" s="577"/>
      <c r="I394" s="542"/>
      <c r="J394" s="542"/>
      <c r="K394" s="548"/>
      <c r="L394" s="432" t="s">
        <v>42</v>
      </c>
      <c r="M394" s="432" t="s">
        <v>35</v>
      </c>
      <c r="N394" s="18">
        <v>672.13599999999997</v>
      </c>
      <c r="O394" s="18">
        <v>642.928</v>
      </c>
      <c r="P394" s="18">
        <v>479.68</v>
      </c>
      <c r="Q394" s="18">
        <v>541.67999999999995</v>
      </c>
      <c r="R394" s="18">
        <v>541.67999999999995</v>
      </c>
    </row>
    <row r="395" spans="1:18" s="107" customFormat="1" ht="51.75" customHeight="1">
      <c r="A395" s="600"/>
      <c r="B395" s="430"/>
      <c r="C395" s="105"/>
      <c r="D395" s="105"/>
      <c r="E395" s="105"/>
      <c r="F395" s="579"/>
      <c r="G395" s="105"/>
      <c r="H395" s="105"/>
      <c r="I395" s="105"/>
      <c r="J395" s="105"/>
      <c r="K395" s="128"/>
      <c r="L395" s="508" t="s">
        <v>42</v>
      </c>
      <c r="M395" s="508" t="s">
        <v>40</v>
      </c>
      <c r="N395" s="18">
        <v>31.248000000000001</v>
      </c>
      <c r="O395" s="18">
        <v>18.228000000000002</v>
      </c>
      <c r="P395" s="18">
        <v>10.416</v>
      </c>
      <c r="Q395" s="18">
        <v>10.416</v>
      </c>
      <c r="R395" s="18">
        <v>10.416</v>
      </c>
    </row>
    <row r="396" spans="1:18" s="107" customFormat="1" ht="155.25" hidden="1" customHeight="1">
      <c r="A396" s="49" t="s">
        <v>622</v>
      </c>
      <c r="B396" s="432" t="s">
        <v>623</v>
      </c>
      <c r="C396" s="448" t="s">
        <v>188</v>
      </c>
      <c r="D396" s="448" t="s">
        <v>229</v>
      </c>
      <c r="E396" s="448" t="s">
        <v>190</v>
      </c>
      <c r="F396" s="448" t="s">
        <v>230</v>
      </c>
      <c r="G396" s="448" t="s">
        <v>231</v>
      </c>
      <c r="H396" s="448" t="s">
        <v>232</v>
      </c>
      <c r="I396" s="448" t="s">
        <v>233</v>
      </c>
      <c r="J396" s="448" t="s">
        <v>88</v>
      </c>
      <c r="K396" s="448" t="s">
        <v>234</v>
      </c>
      <c r="L396" s="487" t="s">
        <v>22</v>
      </c>
      <c r="M396" s="487" t="s">
        <v>32</v>
      </c>
      <c r="N396" s="207">
        <v>0</v>
      </c>
      <c r="O396" s="207"/>
      <c r="P396" s="207"/>
      <c r="Q396" s="374"/>
      <c r="R396" s="159"/>
    </row>
    <row r="397" spans="1:18" s="107" customFormat="1" ht="60">
      <c r="A397" s="102" t="s">
        <v>622</v>
      </c>
      <c r="B397" s="487" t="s">
        <v>825</v>
      </c>
      <c r="C397" s="273"/>
      <c r="D397" s="273"/>
      <c r="E397" s="273"/>
      <c r="F397" s="273"/>
      <c r="G397" s="273"/>
      <c r="H397" s="273"/>
      <c r="I397" s="273" t="s">
        <v>522</v>
      </c>
      <c r="J397" s="273" t="s">
        <v>67</v>
      </c>
      <c r="K397" s="273" t="s">
        <v>513</v>
      </c>
      <c r="L397" s="508" t="s">
        <v>22</v>
      </c>
      <c r="M397" s="508" t="s">
        <v>36</v>
      </c>
      <c r="N397" s="207">
        <v>0</v>
      </c>
      <c r="O397" s="207">
        <v>0</v>
      </c>
      <c r="P397" s="207">
        <f>115.398+84</f>
        <v>199.398</v>
      </c>
      <c r="Q397" s="207">
        <f>4551.411+311.089+2081.9+84</f>
        <v>7028.4</v>
      </c>
      <c r="R397" s="207">
        <f>4551.411+311.089+2081.9+84</f>
        <v>7028.4</v>
      </c>
    </row>
    <row r="398" spans="1:18" s="107" customFormat="1" ht="276.75" customHeight="1">
      <c r="A398" s="599" t="s">
        <v>624</v>
      </c>
      <c r="B398" s="432" t="s">
        <v>625</v>
      </c>
      <c r="C398" s="357" t="s">
        <v>221</v>
      </c>
      <c r="D398" s="489" t="s">
        <v>241</v>
      </c>
      <c r="E398" s="489" t="s">
        <v>222</v>
      </c>
      <c r="F398" s="489" t="s">
        <v>242</v>
      </c>
      <c r="G398" s="489" t="s">
        <v>243</v>
      </c>
      <c r="H398" s="489" t="s">
        <v>79</v>
      </c>
      <c r="I398" s="171" t="s">
        <v>1168</v>
      </c>
      <c r="J398" s="171" t="s">
        <v>67</v>
      </c>
      <c r="K398" s="172" t="s">
        <v>245</v>
      </c>
      <c r="L398" s="432" t="s">
        <v>42</v>
      </c>
      <c r="M398" s="432" t="s">
        <v>31</v>
      </c>
      <c r="N398" s="50">
        <v>0</v>
      </c>
      <c r="O398" s="50">
        <v>0</v>
      </c>
      <c r="P398" s="50"/>
      <c r="Q398" s="50"/>
      <c r="R398" s="50"/>
    </row>
    <row r="399" spans="1:18" s="107" customFormat="1" ht="156" customHeight="1">
      <c r="A399" s="552"/>
      <c r="B399" s="509" t="s">
        <v>437</v>
      </c>
      <c r="C399" s="470" t="s">
        <v>246</v>
      </c>
      <c r="D399" s="446" t="s">
        <v>243</v>
      </c>
      <c r="E399" s="446" t="s">
        <v>247</v>
      </c>
      <c r="F399" s="446" t="s">
        <v>237</v>
      </c>
      <c r="G399" s="446" t="s">
        <v>248</v>
      </c>
      <c r="H399" s="464" t="s">
        <v>249</v>
      </c>
      <c r="I399" s="446" t="s">
        <v>857</v>
      </c>
      <c r="J399" s="446" t="s">
        <v>250</v>
      </c>
      <c r="K399" s="277" t="s">
        <v>251</v>
      </c>
      <c r="L399" s="432" t="s">
        <v>42</v>
      </c>
      <c r="M399" s="432" t="s">
        <v>35</v>
      </c>
      <c r="N399" s="18">
        <v>1262.5419999999999</v>
      </c>
      <c r="O399" s="18">
        <v>1262.5419999999999</v>
      </c>
      <c r="P399" s="18">
        <v>1972.2</v>
      </c>
      <c r="Q399" s="18">
        <v>1972.2</v>
      </c>
      <c r="R399" s="18">
        <v>1972.2</v>
      </c>
    </row>
    <row r="400" spans="1:18" s="107" customFormat="1" ht="157.5" customHeight="1">
      <c r="A400" s="600"/>
      <c r="B400" s="509" t="s">
        <v>438</v>
      </c>
      <c r="C400" s="471" t="s">
        <v>235</v>
      </c>
      <c r="D400" s="501" t="s">
        <v>184</v>
      </c>
      <c r="E400" s="501" t="s">
        <v>236</v>
      </c>
      <c r="F400" s="501" t="s">
        <v>237</v>
      </c>
      <c r="G400" s="501" t="s">
        <v>238</v>
      </c>
      <c r="H400" s="501" t="s">
        <v>214</v>
      </c>
      <c r="I400" s="501" t="s">
        <v>406</v>
      </c>
      <c r="J400" s="271" t="s">
        <v>239</v>
      </c>
      <c r="K400" s="272" t="s">
        <v>240</v>
      </c>
      <c r="L400" s="432" t="s">
        <v>22</v>
      </c>
      <c r="M400" s="432" t="s">
        <v>36</v>
      </c>
      <c r="N400" s="18">
        <f>26467+13393.6+115</f>
        <v>39975.599999999999</v>
      </c>
      <c r="O400" s="18">
        <f>109.387+26078.639+12288.198</f>
        <v>38476.224000000002</v>
      </c>
      <c r="P400" s="18">
        <f>132+28909.2+17901.8</f>
        <v>46943</v>
      </c>
      <c r="Q400" s="18">
        <f>132+28909.2+17974.6</f>
        <v>47015.8</v>
      </c>
      <c r="R400" s="18">
        <f>132+28909.2+17974.6</f>
        <v>47015.8</v>
      </c>
    </row>
    <row r="401" spans="1:18" s="107" customFormat="1" ht="192.75" customHeight="1">
      <c r="A401" s="49" t="s">
        <v>626</v>
      </c>
      <c r="B401" s="432" t="s">
        <v>870</v>
      </c>
      <c r="C401" s="458" t="s">
        <v>278</v>
      </c>
      <c r="D401" s="458" t="s">
        <v>279</v>
      </c>
      <c r="E401" s="458" t="s">
        <v>280</v>
      </c>
      <c r="F401" s="458" t="s">
        <v>281</v>
      </c>
      <c r="G401" s="458" t="s">
        <v>256</v>
      </c>
      <c r="H401" s="458" t="s">
        <v>282</v>
      </c>
      <c r="I401" s="491" t="s">
        <v>283</v>
      </c>
      <c r="J401" s="491" t="s">
        <v>67</v>
      </c>
      <c r="K401" s="469" t="s">
        <v>284</v>
      </c>
      <c r="L401" s="432" t="s">
        <v>36</v>
      </c>
      <c r="M401" s="432" t="s">
        <v>34</v>
      </c>
      <c r="N401" s="18">
        <v>1132.3</v>
      </c>
      <c r="O401" s="18">
        <v>1131.1189999999999</v>
      </c>
      <c r="P401" s="18">
        <v>1132.3</v>
      </c>
      <c r="Q401" s="18">
        <v>1132.3</v>
      </c>
      <c r="R401" s="18">
        <v>1132.3</v>
      </c>
    </row>
    <row r="402" spans="1:18" s="107" customFormat="1" ht="36.75" customHeight="1">
      <c r="A402" s="599" t="s">
        <v>822</v>
      </c>
      <c r="B402" s="229" t="s">
        <v>824</v>
      </c>
      <c r="C402" s="583" t="s">
        <v>221</v>
      </c>
      <c r="D402" s="583" t="s">
        <v>241</v>
      </c>
      <c r="E402" s="583" t="s">
        <v>222</v>
      </c>
      <c r="F402" s="583" t="s">
        <v>242</v>
      </c>
      <c r="G402" s="583" t="s">
        <v>243</v>
      </c>
      <c r="H402" s="583" t="s">
        <v>244</v>
      </c>
      <c r="I402" s="591" t="s">
        <v>1168</v>
      </c>
      <c r="J402" s="591" t="s">
        <v>67</v>
      </c>
      <c r="K402" s="585" t="s">
        <v>245</v>
      </c>
      <c r="L402" s="225" t="s">
        <v>42</v>
      </c>
      <c r="M402" s="198" t="s">
        <v>31</v>
      </c>
      <c r="N402" s="207">
        <v>453.2</v>
      </c>
      <c r="O402" s="207">
        <v>453.2</v>
      </c>
      <c r="P402" s="207">
        <v>453.2</v>
      </c>
      <c r="Q402" s="207">
        <v>453.2</v>
      </c>
      <c r="R402" s="207">
        <v>453.2</v>
      </c>
    </row>
    <row r="403" spans="1:18" s="107" customFormat="1" ht="23.25" customHeight="1">
      <c r="A403" s="552"/>
      <c r="B403" s="291" t="s">
        <v>823</v>
      </c>
      <c r="C403" s="583"/>
      <c r="D403" s="583"/>
      <c r="E403" s="583"/>
      <c r="F403" s="583"/>
      <c r="G403" s="583"/>
      <c r="H403" s="583"/>
      <c r="I403" s="591"/>
      <c r="J403" s="591"/>
      <c r="K403" s="585"/>
      <c r="L403" s="71" t="s">
        <v>42</v>
      </c>
      <c r="M403" s="508" t="s">
        <v>31</v>
      </c>
      <c r="N403" s="18">
        <v>350.95600000000002</v>
      </c>
      <c r="O403" s="18">
        <v>322.79500000000002</v>
      </c>
      <c r="P403" s="18">
        <v>418.1</v>
      </c>
      <c r="Q403" s="18">
        <v>418.3</v>
      </c>
      <c r="R403" s="18">
        <v>417.7</v>
      </c>
    </row>
    <row r="404" spans="1:18" s="107" customFormat="1" ht="251.25" customHeight="1">
      <c r="A404" s="600"/>
      <c r="B404" s="230"/>
      <c r="C404" s="583"/>
      <c r="D404" s="583"/>
      <c r="E404" s="583"/>
      <c r="F404" s="583"/>
      <c r="G404" s="583"/>
      <c r="H404" s="583"/>
      <c r="I404" s="591"/>
      <c r="J404" s="591"/>
      <c r="K404" s="585"/>
      <c r="L404" s="71" t="s">
        <v>42</v>
      </c>
      <c r="M404" s="508" t="s">
        <v>35</v>
      </c>
      <c r="N404" s="18">
        <f>10728.744+818.878+167.722</f>
        <v>11715.344000000001</v>
      </c>
      <c r="O404" s="18">
        <f>8204.016+543.314+111.281</f>
        <v>8858.6110000000008</v>
      </c>
      <c r="P404" s="18">
        <f>1582.395+324.105+13406</f>
        <v>15312.5</v>
      </c>
      <c r="Q404" s="18">
        <f>1705.722+254.878+13460</f>
        <v>15420.6</v>
      </c>
      <c r="R404" s="18">
        <f>1614.024+241.176+13355.1</f>
        <v>15210.3</v>
      </c>
    </row>
    <row r="405" spans="1:18" s="108" customFormat="1" ht="48.75" customHeight="1">
      <c r="A405" s="34" t="s">
        <v>627</v>
      </c>
      <c r="B405" s="450">
        <v>2000</v>
      </c>
      <c r="C405" s="226"/>
      <c r="D405" s="226"/>
      <c r="E405" s="227"/>
      <c r="F405" s="226"/>
      <c r="G405" s="226"/>
      <c r="H405" s="226"/>
      <c r="I405" s="226"/>
      <c r="J405" s="228"/>
      <c r="K405" s="228"/>
      <c r="L405" s="450"/>
      <c r="M405" s="450"/>
      <c r="N405" s="35">
        <f>SUM(N406:N409)</f>
        <v>632561.5</v>
      </c>
      <c r="O405" s="35">
        <f>SUM(O406:O409)</f>
        <v>632330.96900000004</v>
      </c>
      <c r="P405" s="35">
        <f t="shared" ref="P405:R405" si="62">SUM(P406:P409)</f>
        <v>640423.96000000008</v>
      </c>
      <c r="Q405" s="35">
        <f t="shared" si="62"/>
        <v>640439.5</v>
      </c>
      <c r="R405" s="35">
        <f t="shared" si="62"/>
        <v>640439.5</v>
      </c>
    </row>
    <row r="406" spans="1:18" s="108" customFormat="1" ht="300" customHeight="1">
      <c r="A406" s="102" t="s">
        <v>1026</v>
      </c>
      <c r="B406" s="132" t="s">
        <v>1028</v>
      </c>
      <c r="C406" s="545" t="s">
        <v>221</v>
      </c>
      <c r="D406" s="545" t="s">
        <v>189</v>
      </c>
      <c r="E406" s="545" t="s">
        <v>222</v>
      </c>
      <c r="F406" s="580" t="s">
        <v>290</v>
      </c>
      <c r="G406" s="545" t="s">
        <v>243</v>
      </c>
      <c r="H406" s="545" t="s">
        <v>291</v>
      </c>
      <c r="I406" s="357" t="s">
        <v>875</v>
      </c>
      <c r="J406" s="431" t="s">
        <v>67</v>
      </c>
      <c r="K406" s="328" t="s">
        <v>813</v>
      </c>
      <c r="L406" s="198" t="s">
        <v>42</v>
      </c>
      <c r="M406" s="508" t="s">
        <v>35</v>
      </c>
      <c r="N406" s="18">
        <f>251945.545+28212.6</f>
        <v>280158.14500000002</v>
      </c>
      <c r="O406" s="18">
        <f>251945.5+28212.6</f>
        <v>280158.09999999998</v>
      </c>
      <c r="P406" s="18">
        <f>264087.9+27200.7</f>
        <v>291288.60000000003</v>
      </c>
      <c r="Q406" s="18">
        <f>264181.85+27181.75</f>
        <v>291363.59999999998</v>
      </c>
      <c r="R406" s="18">
        <f>264181.85+27181.75</f>
        <v>291363.59999999998</v>
      </c>
    </row>
    <row r="407" spans="1:18" s="108" customFormat="1" ht="156.75" customHeight="1">
      <c r="A407" s="599" t="s">
        <v>1027</v>
      </c>
      <c r="B407" s="651" t="s">
        <v>1029</v>
      </c>
      <c r="C407" s="542"/>
      <c r="D407" s="542"/>
      <c r="E407" s="542"/>
      <c r="F407" s="581"/>
      <c r="G407" s="542"/>
      <c r="H407" s="542"/>
      <c r="I407" s="329" t="s">
        <v>1337</v>
      </c>
      <c r="J407" s="446" t="s">
        <v>67</v>
      </c>
      <c r="K407" s="464" t="s">
        <v>365</v>
      </c>
      <c r="L407" s="198" t="s">
        <v>42</v>
      </c>
      <c r="M407" s="508" t="s">
        <v>35</v>
      </c>
      <c r="N407" s="18">
        <f>234013.455+12154.5</f>
        <v>246167.95499999999</v>
      </c>
      <c r="O407" s="18">
        <f>233925.35+12152.965</f>
        <v>246078.315</v>
      </c>
      <c r="P407" s="18">
        <f>229810.56+11824.9</f>
        <v>241635.46</v>
      </c>
      <c r="Q407" s="18">
        <f>229732.15+11843.85</f>
        <v>241576</v>
      </c>
      <c r="R407" s="18">
        <f>229732.15+11843.85</f>
        <v>241576</v>
      </c>
    </row>
    <row r="408" spans="1:18" s="108" customFormat="1" ht="107.25" customHeight="1">
      <c r="A408" s="600"/>
      <c r="B408" s="662"/>
      <c r="C408" s="542"/>
      <c r="D408" s="542"/>
      <c r="E408" s="542"/>
      <c r="F408" s="581"/>
      <c r="G408" s="542"/>
      <c r="H408" s="542"/>
      <c r="I408" s="330" t="s">
        <v>812</v>
      </c>
      <c r="J408" s="327" t="s">
        <v>67</v>
      </c>
      <c r="K408" s="327" t="s">
        <v>813</v>
      </c>
      <c r="L408" s="70"/>
      <c r="M408" s="508"/>
      <c r="N408" s="18"/>
      <c r="O408" s="18"/>
      <c r="P408" s="18"/>
      <c r="Q408" s="18"/>
      <c r="R408" s="18"/>
    </row>
    <row r="409" spans="1:18" s="107" customFormat="1" ht="265.5" customHeight="1">
      <c r="A409" s="479" t="s">
        <v>628</v>
      </c>
      <c r="B409" s="507" t="s">
        <v>677</v>
      </c>
      <c r="C409" s="589"/>
      <c r="D409" s="589"/>
      <c r="E409" s="589"/>
      <c r="F409" s="582"/>
      <c r="G409" s="589"/>
      <c r="H409" s="589"/>
      <c r="I409" s="390" t="s">
        <v>292</v>
      </c>
      <c r="J409" s="484" t="s">
        <v>67</v>
      </c>
      <c r="K409" s="485" t="s">
        <v>293</v>
      </c>
      <c r="L409" s="67" t="s">
        <v>42</v>
      </c>
      <c r="M409" s="508" t="s">
        <v>31</v>
      </c>
      <c r="N409" s="18">
        <v>106235.4</v>
      </c>
      <c r="O409" s="18">
        <v>106094.554</v>
      </c>
      <c r="P409" s="18">
        <v>107499.9</v>
      </c>
      <c r="Q409" s="18">
        <v>107499.9</v>
      </c>
      <c r="R409" s="18">
        <v>107499.9</v>
      </c>
    </row>
    <row r="410" spans="1:18" s="108" customFormat="1" ht="96.75" customHeight="1">
      <c r="A410" s="34" t="s">
        <v>629</v>
      </c>
      <c r="B410" s="450">
        <v>2100</v>
      </c>
      <c r="C410" s="450" t="s">
        <v>28</v>
      </c>
      <c r="D410" s="450" t="s">
        <v>28</v>
      </c>
      <c r="E410" s="450" t="s">
        <v>28</v>
      </c>
      <c r="F410" s="450" t="s">
        <v>28</v>
      </c>
      <c r="G410" s="450" t="s">
        <v>28</v>
      </c>
      <c r="H410" s="450" t="s">
        <v>28</v>
      </c>
      <c r="I410" s="450" t="s">
        <v>28</v>
      </c>
      <c r="J410" s="450" t="s">
        <v>28</v>
      </c>
      <c r="K410" s="450" t="s">
        <v>28</v>
      </c>
      <c r="L410" s="450"/>
      <c r="M410" s="450"/>
      <c r="N410" s="35">
        <f>N411+N415+N420</f>
        <v>446464.19999999995</v>
      </c>
      <c r="O410" s="35">
        <f>O411+O415+O420</f>
        <v>442260.55899999995</v>
      </c>
      <c r="P410" s="35">
        <f>P411+P415+P420</f>
        <v>424452.52599999995</v>
      </c>
      <c r="Q410" s="35">
        <f t="shared" ref="Q410:R410" si="63">Q411+Q415+Q420</f>
        <v>129308.6</v>
      </c>
      <c r="R410" s="35">
        <f t="shared" si="63"/>
        <v>126109.9</v>
      </c>
    </row>
    <row r="411" spans="1:18" s="108" customFormat="1" ht="36">
      <c r="A411" s="74" t="s">
        <v>630</v>
      </c>
      <c r="B411" s="494">
        <v>2101</v>
      </c>
      <c r="C411" s="494"/>
      <c r="D411" s="494"/>
      <c r="E411" s="494"/>
      <c r="F411" s="494"/>
      <c r="G411" s="494"/>
      <c r="H411" s="494"/>
      <c r="I411" s="494"/>
      <c r="J411" s="494"/>
      <c r="K411" s="494"/>
      <c r="L411" s="494"/>
      <c r="M411" s="494"/>
      <c r="N411" s="92">
        <f>SUM(N413:N414)</f>
        <v>60000</v>
      </c>
      <c r="O411" s="92">
        <f>SUM(O413:O414)</f>
        <v>60000</v>
      </c>
      <c r="P411" s="92">
        <f t="shared" ref="P411:R411" si="64">SUM(P413:P414)</f>
        <v>60888</v>
      </c>
      <c r="Q411" s="92">
        <f t="shared" si="64"/>
        <v>61007.3</v>
      </c>
      <c r="R411" s="92">
        <f t="shared" si="64"/>
        <v>60432.5</v>
      </c>
    </row>
    <row r="412" spans="1:18" s="108" customFormat="1" ht="12">
      <c r="A412" s="65" t="s">
        <v>96</v>
      </c>
      <c r="B412" s="467"/>
      <c r="C412" s="467"/>
      <c r="D412" s="467"/>
      <c r="E412" s="467"/>
      <c r="F412" s="467"/>
      <c r="G412" s="467"/>
      <c r="H412" s="467"/>
      <c r="I412" s="467"/>
      <c r="J412" s="467"/>
      <c r="K412" s="467"/>
      <c r="L412" s="467"/>
      <c r="M412" s="467"/>
      <c r="N412" s="93"/>
      <c r="O412" s="93"/>
      <c r="P412" s="93"/>
      <c r="Q412" s="93"/>
      <c r="R412" s="93"/>
    </row>
    <row r="413" spans="1:18" s="107" customFormat="1" ht="119.25" customHeight="1">
      <c r="A413" s="42"/>
      <c r="B413" s="509" t="s">
        <v>531</v>
      </c>
      <c r="C413" s="25" t="s">
        <v>55</v>
      </c>
      <c r="D413" s="24" t="s">
        <v>302</v>
      </c>
      <c r="E413" s="25" t="s">
        <v>56</v>
      </c>
      <c r="F413" s="25" t="s">
        <v>217</v>
      </c>
      <c r="G413" s="25" t="s">
        <v>218</v>
      </c>
      <c r="H413" s="25" t="s">
        <v>214</v>
      </c>
      <c r="I413" s="25" t="s">
        <v>219</v>
      </c>
      <c r="J413" s="26" t="s">
        <v>69</v>
      </c>
      <c r="K413" s="26" t="s">
        <v>220</v>
      </c>
      <c r="L413" s="430" t="s">
        <v>26</v>
      </c>
      <c r="M413" s="430" t="s">
        <v>31</v>
      </c>
      <c r="N413" s="50">
        <f>11083.2+48916.8</f>
        <v>60000</v>
      </c>
      <c r="O413" s="50">
        <v>60000</v>
      </c>
      <c r="P413" s="50">
        <v>60888</v>
      </c>
      <c r="Q413" s="375">
        <v>61007.3</v>
      </c>
      <c r="R413" s="160">
        <v>60432.5</v>
      </c>
    </row>
    <row r="414" spans="1:18" s="107" customFormat="1" ht="60">
      <c r="A414" s="42"/>
      <c r="B414" s="430"/>
      <c r="C414" s="24"/>
      <c r="D414" s="24"/>
      <c r="E414" s="24"/>
      <c r="F414" s="24" t="s">
        <v>799</v>
      </c>
      <c r="G414" s="24" t="s">
        <v>303</v>
      </c>
      <c r="H414" s="24" t="s">
        <v>62</v>
      </c>
      <c r="I414" s="24" t="s">
        <v>1158</v>
      </c>
      <c r="J414" s="24" t="s">
        <v>198</v>
      </c>
      <c r="K414" s="24" t="s">
        <v>304</v>
      </c>
      <c r="L414" s="433"/>
      <c r="M414" s="433"/>
      <c r="N414" s="55"/>
      <c r="O414" s="55"/>
      <c r="P414" s="55"/>
      <c r="Q414" s="376"/>
      <c r="R414" s="162"/>
    </row>
    <row r="415" spans="1:18" s="108" customFormat="1" ht="144">
      <c r="A415" s="34" t="s">
        <v>631</v>
      </c>
      <c r="B415" s="450">
        <v>2103</v>
      </c>
      <c r="C415" s="450" t="s">
        <v>28</v>
      </c>
      <c r="D415" s="450" t="s">
        <v>28</v>
      </c>
      <c r="E415" s="450" t="s">
        <v>28</v>
      </c>
      <c r="F415" s="450" t="s">
        <v>28</v>
      </c>
      <c r="G415" s="450" t="s">
        <v>28</v>
      </c>
      <c r="H415" s="450" t="s">
        <v>28</v>
      </c>
      <c r="I415" s="450" t="s">
        <v>28</v>
      </c>
      <c r="J415" s="450" t="s">
        <v>28</v>
      </c>
      <c r="K415" s="450" t="s">
        <v>28</v>
      </c>
      <c r="L415" s="450"/>
      <c r="M415" s="450"/>
      <c r="N415" s="35">
        <f>SUM(N416:N418)</f>
        <v>9980.8559999999998</v>
      </c>
      <c r="O415" s="35">
        <f>SUM(O416:O418)</f>
        <v>9545.5709999999999</v>
      </c>
      <c r="P415" s="35">
        <f>SUM(P416:P418)</f>
        <v>8249.3019999999997</v>
      </c>
      <c r="Q415" s="35">
        <f t="shared" ref="Q415:R415" si="65">SUM(Q416:Q418)</f>
        <v>1436.8</v>
      </c>
      <c r="R415" s="35">
        <f t="shared" si="65"/>
        <v>1493.9</v>
      </c>
    </row>
    <row r="416" spans="1:18" s="107" customFormat="1" ht="90" customHeight="1">
      <c r="A416" s="49" t="s">
        <v>632</v>
      </c>
      <c r="B416" s="432" t="s">
        <v>1030</v>
      </c>
      <c r="C416" s="472" t="s">
        <v>305</v>
      </c>
      <c r="D416" s="472" t="s">
        <v>306</v>
      </c>
      <c r="E416" s="472" t="s">
        <v>307</v>
      </c>
      <c r="F416" s="575" t="s">
        <v>1199</v>
      </c>
      <c r="G416" s="472" t="s">
        <v>1186</v>
      </c>
      <c r="H416" s="472" t="s">
        <v>930</v>
      </c>
      <c r="I416" s="432" t="s">
        <v>1188</v>
      </c>
      <c r="J416" s="49" t="s">
        <v>67</v>
      </c>
      <c r="K416" s="432" t="s">
        <v>930</v>
      </c>
      <c r="L416" s="432" t="s">
        <v>35</v>
      </c>
      <c r="M416" s="432" t="s">
        <v>40</v>
      </c>
      <c r="N416" s="313">
        <v>1361.7</v>
      </c>
      <c r="O416" s="313">
        <v>1361.7</v>
      </c>
      <c r="P416" s="313">
        <v>1421.8</v>
      </c>
      <c r="Q416" s="395">
        <v>1436.8</v>
      </c>
      <c r="R416" s="396">
        <v>1493.9</v>
      </c>
    </row>
    <row r="417" spans="1:18" s="107" customFormat="1" ht="90" customHeight="1">
      <c r="A417" s="45"/>
      <c r="B417" s="433"/>
      <c r="C417" s="473"/>
      <c r="D417" s="473"/>
      <c r="E417" s="473"/>
      <c r="F417" s="588"/>
      <c r="G417" s="473"/>
      <c r="H417" s="473"/>
      <c r="I417" s="433" t="s">
        <v>1187</v>
      </c>
      <c r="J417" s="45" t="s">
        <v>67</v>
      </c>
      <c r="K417" s="433" t="s">
        <v>930</v>
      </c>
      <c r="L417" s="433"/>
      <c r="M417" s="433"/>
      <c r="N417" s="308"/>
      <c r="O417" s="308"/>
      <c r="P417" s="308"/>
      <c r="Q417" s="382"/>
      <c r="R417" s="333"/>
    </row>
    <row r="418" spans="1:18" s="107" customFormat="1" ht="146.25" customHeight="1">
      <c r="A418" s="42" t="s">
        <v>633</v>
      </c>
      <c r="B418" s="430" t="s">
        <v>1031</v>
      </c>
      <c r="C418" s="542" t="s">
        <v>188</v>
      </c>
      <c r="D418" s="542" t="s">
        <v>229</v>
      </c>
      <c r="E418" s="542" t="s">
        <v>190</v>
      </c>
      <c r="F418" s="542" t="s">
        <v>1335</v>
      </c>
      <c r="G418" s="542" t="s">
        <v>67</v>
      </c>
      <c r="H418" s="586" t="s">
        <v>65</v>
      </c>
      <c r="I418" s="544" t="s">
        <v>1333</v>
      </c>
      <c r="J418" s="544" t="s">
        <v>67</v>
      </c>
      <c r="K418" s="544" t="s">
        <v>1334</v>
      </c>
      <c r="L418" s="439" t="s">
        <v>22</v>
      </c>
      <c r="M418" s="439" t="s">
        <v>36</v>
      </c>
      <c r="N418" s="44">
        <f>6112.65+426.106+2080.4</f>
        <v>8619.155999999999</v>
      </c>
      <c r="O418" s="44">
        <f>5677.365+426.106+2080.4</f>
        <v>8183.8709999999992</v>
      </c>
      <c r="P418" s="44">
        <f>4320.996+426.106+2080.4</f>
        <v>6827.5020000000004</v>
      </c>
      <c r="Q418" s="44">
        <v>0</v>
      </c>
      <c r="R418" s="44">
        <v>0</v>
      </c>
    </row>
    <row r="419" spans="1:18" s="107" customFormat="1" ht="21.75" customHeight="1">
      <c r="A419" s="45"/>
      <c r="B419" s="433"/>
      <c r="C419" s="589"/>
      <c r="D419" s="589"/>
      <c r="E419" s="589"/>
      <c r="F419" s="589"/>
      <c r="G419" s="589"/>
      <c r="H419" s="587"/>
      <c r="I419" s="590"/>
      <c r="J419" s="590"/>
      <c r="K419" s="590"/>
      <c r="L419" s="454"/>
      <c r="M419" s="454"/>
      <c r="N419" s="66"/>
      <c r="O419" s="66"/>
      <c r="P419" s="66"/>
      <c r="Q419" s="66"/>
      <c r="R419" s="66"/>
    </row>
    <row r="420" spans="1:18" s="108" customFormat="1" ht="24" customHeight="1">
      <c r="A420" s="34" t="s">
        <v>634</v>
      </c>
      <c r="B420" s="450">
        <v>2200</v>
      </c>
      <c r="C420" s="450" t="s">
        <v>28</v>
      </c>
      <c r="D420" s="450" t="s">
        <v>28</v>
      </c>
      <c r="E420" s="450" t="s">
        <v>28</v>
      </c>
      <c r="F420" s="450" t="s">
        <v>28</v>
      </c>
      <c r="G420" s="450" t="s">
        <v>28</v>
      </c>
      <c r="H420" s="450" t="s">
        <v>28</v>
      </c>
      <c r="I420" s="450" t="s">
        <v>28</v>
      </c>
      <c r="J420" s="450" t="s">
        <v>28</v>
      </c>
      <c r="K420" s="450" t="s">
        <v>28</v>
      </c>
      <c r="L420" s="477"/>
      <c r="M420" s="477"/>
      <c r="N420" s="53">
        <f t="shared" ref="N420:R420" si="66">N421</f>
        <v>376483.34399999992</v>
      </c>
      <c r="O420" s="53">
        <f t="shared" si="66"/>
        <v>372714.98799999995</v>
      </c>
      <c r="P420" s="53">
        <f t="shared" si="66"/>
        <v>355315.22399999999</v>
      </c>
      <c r="Q420" s="53">
        <f t="shared" si="66"/>
        <v>66864.5</v>
      </c>
      <c r="R420" s="53">
        <f t="shared" si="66"/>
        <v>64183.5</v>
      </c>
    </row>
    <row r="421" spans="1:18" s="108" customFormat="1" ht="36" customHeight="1">
      <c r="A421" s="34" t="s">
        <v>635</v>
      </c>
      <c r="B421" s="450">
        <v>2300</v>
      </c>
      <c r="C421" s="450" t="s">
        <v>28</v>
      </c>
      <c r="D421" s="450" t="s">
        <v>28</v>
      </c>
      <c r="E421" s="450" t="s">
        <v>28</v>
      </c>
      <c r="F421" s="450" t="s">
        <v>28</v>
      </c>
      <c r="G421" s="450" t="s">
        <v>28</v>
      </c>
      <c r="H421" s="450" t="s">
        <v>28</v>
      </c>
      <c r="I421" s="450" t="s">
        <v>28</v>
      </c>
      <c r="J421" s="450" t="s">
        <v>28</v>
      </c>
      <c r="K421" s="450" t="s">
        <v>28</v>
      </c>
      <c r="L421" s="450"/>
      <c r="M421" s="450"/>
      <c r="N421" s="35">
        <f>N422+N426+N462+N471+N478+N484+N486+N491+N498+N501+N502+N504+N515+N523+N556+N557+N558+N560+N564+N563+N566+N567+N569</f>
        <v>376483.34399999992</v>
      </c>
      <c r="O421" s="35">
        <f>O422+O426+O462+O471+O478+O484+O486+O491+O498+O501+O502+O504+O515+O523+O556+O557+O558+O560+O564+O563+O566+O567+O569</f>
        <v>372714.98799999995</v>
      </c>
      <c r="P421" s="35">
        <f>P422+P426+P462+P471+P478+P484+P486+P491+P498+P501+P502+P504+P515+P523+P556+P557+P558+P560+P564+P563+P566+P567+P569</f>
        <v>355315.22399999999</v>
      </c>
      <c r="Q421" s="35">
        <f>Q422+Q426+Q462+Q471+Q478+Q484+Q486+Q491+Q498+Q501+Q502+Q504+Q515+Q523+Q556+Q557+Q558+Q560+Q564+Q563+Q566+Q567+Q569</f>
        <v>66864.5</v>
      </c>
      <c r="R421" s="35">
        <f>R422+R426+R462+R471+R478+R484+R486+R491+R498+R501+R502+R504+R515+R523+R556+R557+R558+R560+R564+R563+R566+R567+R569</f>
        <v>64183.5</v>
      </c>
    </row>
    <row r="422" spans="1:18" s="108" customFormat="1" ht="46.5" customHeight="1">
      <c r="A422" s="34" t="s">
        <v>636</v>
      </c>
      <c r="B422" s="450">
        <v>2301</v>
      </c>
      <c r="C422" s="34" t="s">
        <v>30</v>
      </c>
      <c r="D422" s="34" t="s">
        <v>30</v>
      </c>
      <c r="E422" s="34" t="s">
        <v>30</v>
      </c>
      <c r="F422" s="34" t="s">
        <v>30</v>
      </c>
      <c r="G422" s="34" t="s">
        <v>30</v>
      </c>
      <c r="H422" s="34" t="s">
        <v>30</v>
      </c>
      <c r="I422" s="27"/>
      <c r="J422" s="27"/>
      <c r="K422" s="28"/>
      <c r="L422" s="450"/>
      <c r="M422" s="450"/>
      <c r="N422" s="35">
        <f>SUM(N423:N424)</f>
        <v>428.53199999999998</v>
      </c>
      <c r="O422" s="35">
        <f>SUM(O423:O424)</f>
        <v>428.53199999999998</v>
      </c>
      <c r="P422" s="35">
        <f>SUM(P423:P425)</f>
        <v>1500</v>
      </c>
      <c r="Q422" s="35">
        <f t="shared" ref="Q422:R422" si="67">SUM(Q423:Q425)</f>
        <v>0</v>
      </c>
      <c r="R422" s="35">
        <f t="shared" si="67"/>
        <v>0</v>
      </c>
    </row>
    <row r="423" spans="1:18" s="107" customFormat="1" ht="63" customHeight="1">
      <c r="A423" s="94" t="s">
        <v>1239</v>
      </c>
      <c r="B423" s="95" t="s">
        <v>490</v>
      </c>
      <c r="C423" s="94"/>
      <c r="D423" s="94"/>
      <c r="E423" s="94"/>
      <c r="F423" s="94"/>
      <c r="G423" s="94"/>
      <c r="H423" s="94"/>
      <c r="I423" s="491" t="s">
        <v>1139</v>
      </c>
      <c r="J423" s="491" t="s">
        <v>67</v>
      </c>
      <c r="K423" s="469" t="s">
        <v>1132</v>
      </c>
      <c r="L423" s="95" t="s">
        <v>31</v>
      </c>
      <c r="M423" s="95" t="s">
        <v>25</v>
      </c>
      <c r="N423" s="104">
        <v>104</v>
      </c>
      <c r="O423" s="104">
        <v>104</v>
      </c>
      <c r="P423" s="232">
        <v>0</v>
      </c>
      <c r="Q423" s="232">
        <v>0</v>
      </c>
      <c r="R423" s="232">
        <v>0</v>
      </c>
    </row>
    <row r="424" spans="1:18" s="107" customFormat="1" ht="72">
      <c r="A424" s="94" t="s">
        <v>1240</v>
      </c>
      <c r="B424" s="95" t="s">
        <v>563</v>
      </c>
      <c r="C424" s="94"/>
      <c r="D424" s="94"/>
      <c r="E424" s="94"/>
      <c r="F424" s="94"/>
      <c r="G424" s="94"/>
      <c r="H424" s="94"/>
      <c r="I424" s="491" t="s">
        <v>1135</v>
      </c>
      <c r="J424" s="491" t="s">
        <v>67</v>
      </c>
      <c r="K424" s="469" t="s">
        <v>1132</v>
      </c>
      <c r="L424" s="95" t="s">
        <v>31</v>
      </c>
      <c r="M424" s="95" t="s">
        <v>25</v>
      </c>
      <c r="N424" s="104">
        <v>324.53199999999998</v>
      </c>
      <c r="O424" s="104">
        <v>324.53199999999998</v>
      </c>
      <c r="P424" s="232">
        <v>0</v>
      </c>
      <c r="Q424" s="232">
        <v>0</v>
      </c>
      <c r="R424" s="232">
        <v>0</v>
      </c>
    </row>
    <row r="425" spans="1:18" s="107" customFormat="1" ht="96">
      <c r="A425" s="94" t="s">
        <v>1476</v>
      </c>
      <c r="B425" s="95" t="s">
        <v>478</v>
      </c>
      <c r="C425" s="94"/>
      <c r="D425" s="94"/>
      <c r="E425" s="94"/>
      <c r="F425" s="94"/>
      <c r="G425" s="94"/>
      <c r="H425" s="94"/>
      <c r="I425" s="491" t="s">
        <v>1500</v>
      </c>
      <c r="J425" s="491" t="s">
        <v>67</v>
      </c>
      <c r="K425" s="469" t="s">
        <v>1501</v>
      </c>
      <c r="L425" s="95" t="s">
        <v>31</v>
      </c>
      <c r="M425" s="95" t="s">
        <v>25</v>
      </c>
      <c r="N425" s="104">
        <v>0</v>
      </c>
      <c r="O425" s="104">
        <v>0</v>
      </c>
      <c r="P425" s="232">
        <v>1500</v>
      </c>
      <c r="Q425" s="232">
        <v>0</v>
      </c>
      <c r="R425" s="232">
        <v>0</v>
      </c>
    </row>
    <row r="426" spans="1:18" s="108" customFormat="1" ht="72.75" customHeight="1">
      <c r="A426" s="52" t="s">
        <v>637</v>
      </c>
      <c r="B426" s="477">
        <v>2302</v>
      </c>
      <c r="C426" s="52" t="s">
        <v>30</v>
      </c>
      <c r="D426" s="52" t="s">
        <v>30</v>
      </c>
      <c r="E426" s="52" t="s">
        <v>30</v>
      </c>
      <c r="F426" s="52" t="s">
        <v>30</v>
      </c>
      <c r="G426" s="52" t="s">
        <v>30</v>
      </c>
      <c r="H426" s="52" t="s">
        <v>30</v>
      </c>
      <c r="I426" s="52" t="s">
        <v>30</v>
      </c>
      <c r="J426" s="52" t="s">
        <v>30</v>
      </c>
      <c r="K426" s="52" t="s">
        <v>30</v>
      </c>
      <c r="L426" s="477"/>
      <c r="M426" s="477"/>
      <c r="N426" s="53">
        <f>SUM(N429:N460)</f>
        <v>105397.08499999999</v>
      </c>
      <c r="O426" s="53">
        <f>SUM(O429:O460)</f>
        <v>103971.52900000001</v>
      </c>
      <c r="P426" s="53">
        <f>SUM(P429:P461)</f>
        <v>74001.284</v>
      </c>
      <c r="Q426" s="53">
        <f t="shared" ref="Q426:R426" si="68">SUM(Q429:Q461)</f>
        <v>0</v>
      </c>
      <c r="R426" s="53">
        <f t="shared" si="68"/>
        <v>0</v>
      </c>
    </row>
    <row r="427" spans="1:18" s="107" customFormat="1" ht="12">
      <c r="A427" s="34" t="s">
        <v>96</v>
      </c>
      <c r="B427" s="432"/>
      <c r="C427" s="49"/>
      <c r="D427" s="49"/>
      <c r="E427" s="49"/>
      <c r="F427" s="49"/>
      <c r="G427" s="90"/>
      <c r="H427" s="94"/>
      <c r="I427" s="94"/>
      <c r="J427" s="94"/>
      <c r="K427" s="94"/>
      <c r="L427" s="46"/>
      <c r="M427" s="432"/>
      <c r="N427" s="18"/>
      <c r="O427" s="18"/>
      <c r="P427" s="18"/>
      <c r="Q427" s="374"/>
      <c r="R427" s="159"/>
    </row>
    <row r="428" spans="1:18" s="107" customFormat="1" ht="24">
      <c r="A428" s="34" t="s">
        <v>638</v>
      </c>
      <c r="B428" s="432"/>
      <c r="C428" s="49"/>
      <c r="D428" s="49"/>
      <c r="E428" s="49"/>
      <c r="F428" s="49"/>
      <c r="G428" s="90"/>
      <c r="H428" s="94"/>
      <c r="I428" s="94"/>
      <c r="J428" s="94"/>
      <c r="K428" s="94"/>
      <c r="L428" s="46"/>
      <c r="M428" s="432"/>
      <c r="N428" s="49"/>
      <c r="O428" s="49"/>
      <c r="P428" s="49"/>
      <c r="Q428" s="90"/>
      <c r="R428" s="163"/>
    </row>
    <row r="429" spans="1:18" s="107" customFormat="1" ht="60">
      <c r="A429" s="94" t="s">
        <v>1241</v>
      </c>
      <c r="B429" s="95" t="s">
        <v>452</v>
      </c>
      <c r="C429" s="94"/>
      <c r="D429" s="94"/>
      <c r="E429" s="94"/>
      <c r="F429" s="94"/>
      <c r="G429" s="94"/>
      <c r="H429" s="94"/>
      <c r="I429" s="424" t="s">
        <v>915</v>
      </c>
      <c r="J429" s="491" t="s">
        <v>67</v>
      </c>
      <c r="K429" s="469" t="s">
        <v>916</v>
      </c>
      <c r="L429" s="95" t="s">
        <v>34</v>
      </c>
      <c r="M429" s="95" t="s">
        <v>35</v>
      </c>
      <c r="N429" s="104">
        <v>1460</v>
      </c>
      <c r="O429" s="104">
        <v>578</v>
      </c>
      <c r="P429" s="104">
        <v>0</v>
      </c>
      <c r="Q429" s="104">
        <v>0</v>
      </c>
      <c r="R429" s="104">
        <v>0</v>
      </c>
    </row>
    <row r="430" spans="1:18" s="107" customFormat="1" ht="60">
      <c r="A430" s="94" t="s">
        <v>1242</v>
      </c>
      <c r="B430" s="95" t="s">
        <v>801</v>
      </c>
      <c r="C430" s="94"/>
      <c r="D430" s="94"/>
      <c r="E430" s="94"/>
      <c r="F430" s="94"/>
      <c r="G430" s="94"/>
      <c r="H430" s="94"/>
      <c r="I430" s="424" t="s">
        <v>924</v>
      </c>
      <c r="J430" s="491" t="s">
        <v>67</v>
      </c>
      <c r="K430" s="469" t="s">
        <v>922</v>
      </c>
      <c r="L430" s="95" t="s">
        <v>34</v>
      </c>
      <c r="M430" s="95" t="s">
        <v>35</v>
      </c>
      <c r="N430" s="104">
        <v>500</v>
      </c>
      <c r="O430" s="104">
        <v>0</v>
      </c>
      <c r="P430" s="104">
        <v>0</v>
      </c>
      <c r="Q430" s="104">
        <v>0</v>
      </c>
      <c r="R430" s="104">
        <v>0</v>
      </c>
    </row>
    <row r="431" spans="1:18" s="107" customFormat="1" ht="72">
      <c r="A431" s="94" t="s">
        <v>1243</v>
      </c>
      <c r="B431" s="95" t="s">
        <v>517</v>
      </c>
      <c r="C431" s="94"/>
      <c r="D431" s="94"/>
      <c r="E431" s="94"/>
      <c r="F431" s="94"/>
      <c r="G431" s="94"/>
      <c r="H431" s="94"/>
      <c r="I431" s="424" t="s">
        <v>1191</v>
      </c>
      <c r="J431" s="491" t="s">
        <v>67</v>
      </c>
      <c r="K431" s="469" t="s">
        <v>926</v>
      </c>
      <c r="L431" s="95" t="s">
        <v>34</v>
      </c>
      <c r="M431" s="95" t="s">
        <v>35</v>
      </c>
      <c r="N431" s="104">
        <v>192.19200000000001</v>
      </c>
      <c r="O431" s="104">
        <v>192.19200000000001</v>
      </c>
      <c r="P431" s="104">
        <v>0</v>
      </c>
      <c r="Q431" s="104">
        <v>0</v>
      </c>
      <c r="R431" s="104">
        <v>0</v>
      </c>
    </row>
    <row r="432" spans="1:18" s="107" customFormat="1" ht="72">
      <c r="A432" s="94" t="s">
        <v>1244</v>
      </c>
      <c r="B432" s="95" t="s">
        <v>894</v>
      </c>
      <c r="C432" s="94"/>
      <c r="D432" s="94"/>
      <c r="E432" s="94"/>
      <c r="F432" s="94"/>
      <c r="G432" s="94"/>
      <c r="H432" s="94"/>
      <c r="I432" s="424" t="s">
        <v>925</v>
      </c>
      <c r="J432" s="491" t="s">
        <v>67</v>
      </c>
      <c r="K432" s="469" t="s">
        <v>926</v>
      </c>
      <c r="L432" s="95" t="s">
        <v>34</v>
      </c>
      <c r="M432" s="95" t="s">
        <v>35</v>
      </c>
      <c r="N432" s="104">
        <v>1146.393</v>
      </c>
      <c r="O432" s="104">
        <v>1146.393</v>
      </c>
      <c r="P432" s="104">
        <v>0</v>
      </c>
      <c r="Q432" s="104">
        <v>0</v>
      </c>
      <c r="R432" s="104">
        <v>0</v>
      </c>
    </row>
    <row r="433" spans="1:18" s="107" customFormat="1" ht="60.75" customHeight="1">
      <c r="A433" s="94" t="s">
        <v>1245</v>
      </c>
      <c r="B433" s="95" t="s">
        <v>462</v>
      </c>
      <c r="C433" s="95"/>
      <c r="D433" s="95"/>
      <c r="E433" s="95"/>
      <c r="F433" s="95"/>
      <c r="G433" s="95"/>
      <c r="H433" s="95"/>
      <c r="I433" s="424" t="s">
        <v>1114</v>
      </c>
      <c r="J433" s="491" t="s">
        <v>67</v>
      </c>
      <c r="K433" s="469" t="s">
        <v>1005</v>
      </c>
      <c r="L433" s="95" t="s">
        <v>34</v>
      </c>
      <c r="M433" s="95" t="s">
        <v>35</v>
      </c>
      <c r="N433" s="104">
        <v>9125</v>
      </c>
      <c r="O433" s="104">
        <v>9125</v>
      </c>
      <c r="P433" s="104">
        <v>0</v>
      </c>
      <c r="Q433" s="104">
        <v>0</v>
      </c>
      <c r="R433" s="104">
        <v>0</v>
      </c>
    </row>
    <row r="434" spans="1:18" s="107" customFormat="1" ht="48">
      <c r="A434" s="94" t="s">
        <v>1246</v>
      </c>
      <c r="B434" s="95" t="s">
        <v>461</v>
      </c>
      <c r="C434" s="94"/>
      <c r="D434" s="94"/>
      <c r="E434" s="94"/>
      <c r="F434" s="94"/>
      <c r="G434" s="94"/>
      <c r="H434" s="94"/>
      <c r="I434" s="424" t="s">
        <v>1006</v>
      </c>
      <c r="J434" s="491" t="s">
        <v>67</v>
      </c>
      <c r="K434" s="469" t="s">
        <v>1007</v>
      </c>
      <c r="L434" s="95" t="s">
        <v>34</v>
      </c>
      <c r="M434" s="95" t="s">
        <v>35</v>
      </c>
      <c r="N434" s="104">
        <v>6000</v>
      </c>
      <c r="O434" s="104">
        <v>6000</v>
      </c>
      <c r="P434" s="104">
        <v>0</v>
      </c>
      <c r="Q434" s="104">
        <v>0</v>
      </c>
      <c r="R434" s="104">
        <v>0</v>
      </c>
    </row>
    <row r="435" spans="1:18" s="107" customFormat="1" ht="60">
      <c r="A435" s="94" t="s">
        <v>1247</v>
      </c>
      <c r="B435" s="95" t="s">
        <v>481</v>
      </c>
      <c r="C435" s="94"/>
      <c r="D435" s="94"/>
      <c r="E435" s="94"/>
      <c r="F435" s="94"/>
      <c r="G435" s="94"/>
      <c r="H435" s="94"/>
      <c r="I435" s="424" t="s">
        <v>1173</v>
      </c>
      <c r="J435" s="491" t="s">
        <v>67</v>
      </c>
      <c r="K435" s="469" t="s">
        <v>1087</v>
      </c>
      <c r="L435" s="95" t="s">
        <v>34</v>
      </c>
      <c r="M435" s="95" t="s">
        <v>35</v>
      </c>
      <c r="N435" s="104">
        <v>895.5</v>
      </c>
      <c r="O435" s="104">
        <v>895.5</v>
      </c>
      <c r="P435" s="104">
        <v>0</v>
      </c>
      <c r="Q435" s="104">
        <v>0</v>
      </c>
      <c r="R435" s="104">
        <v>0</v>
      </c>
    </row>
    <row r="436" spans="1:18" s="107" customFormat="1" ht="48">
      <c r="A436" s="94" t="s">
        <v>1248</v>
      </c>
      <c r="B436" s="95" t="s">
        <v>556</v>
      </c>
      <c r="C436" s="94"/>
      <c r="D436" s="94"/>
      <c r="E436" s="94"/>
      <c r="F436" s="94"/>
      <c r="G436" s="94"/>
      <c r="H436" s="94"/>
      <c r="I436" s="424" t="s">
        <v>1089</v>
      </c>
      <c r="J436" s="491" t="s">
        <v>67</v>
      </c>
      <c r="K436" s="469" t="s">
        <v>1087</v>
      </c>
      <c r="L436" s="95" t="s">
        <v>34</v>
      </c>
      <c r="M436" s="95" t="s">
        <v>35</v>
      </c>
      <c r="N436" s="104">
        <v>181</v>
      </c>
      <c r="O436" s="104">
        <v>138.77000000000001</v>
      </c>
      <c r="P436" s="104">
        <v>0</v>
      </c>
      <c r="Q436" s="104">
        <v>0</v>
      </c>
      <c r="R436" s="104">
        <v>0</v>
      </c>
    </row>
    <row r="437" spans="1:18" s="107" customFormat="1" ht="60">
      <c r="A437" s="94" t="s">
        <v>1249</v>
      </c>
      <c r="B437" s="95" t="s">
        <v>1076</v>
      </c>
      <c r="C437" s="94"/>
      <c r="D437" s="94"/>
      <c r="E437" s="94"/>
      <c r="F437" s="94"/>
      <c r="G437" s="94"/>
      <c r="H437" s="94"/>
      <c r="I437" s="424" t="s">
        <v>1088</v>
      </c>
      <c r="J437" s="491" t="s">
        <v>67</v>
      </c>
      <c r="K437" s="469" t="s">
        <v>1087</v>
      </c>
      <c r="L437" s="95" t="s">
        <v>34</v>
      </c>
      <c r="M437" s="95" t="s">
        <v>35</v>
      </c>
      <c r="N437" s="104">
        <v>1533</v>
      </c>
      <c r="O437" s="104">
        <v>1532.5360000000001</v>
      </c>
      <c r="P437" s="104">
        <v>0</v>
      </c>
      <c r="Q437" s="104">
        <v>0</v>
      </c>
      <c r="R437" s="104">
        <v>0</v>
      </c>
    </row>
    <row r="438" spans="1:18" s="107" customFormat="1" ht="108">
      <c r="A438" s="94" t="s">
        <v>1250</v>
      </c>
      <c r="B438" s="95" t="s">
        <v>483</v>
      </c>
      <c r="C438" s="94"/>
      <c r="D438" s="94"/>
      <c r="E438" s="94"/>
      <c r="F438" s="94"/>
      <c r="G438" s="94"/>
      <c r="H438" s="94"/>
      <c r="I438" s="322" t="s">
        <v>1093</v>
      </c>
      <c r="J438" s="491" t="s">
        <v>67</v>
      </c>
      <c r="K438" s="469" t="s">
        <v>1081</v>
      </c>
      <c r="L438" s="95" t="s">
        <v>34</v>
      </c>
      <c r="M438" s="95" t="s">
        <v>35</v>
      </c>
      <c r="N438" s="104">
        <v>2390.038</v>
      </c>
      <c r="O438" s="104">
        <v>2390.038</v>
      </c>
      <c r="P438" s="104">
        <v>0</v>
      </c>
      <c r="Q438" s="104">
        <v>0</v>
      </c>
      <c r="R438" s="104">
        <v>0</v>
      </c>
    </row>
    <row r="439" spans="1:18" s="107" customFormat="1" ht="96">
      <c r="A439" s="94" t="s">
        <v>1251</v>
      </c>
      <c r="B439" s="95" t="s">
        <v>555</v>
      </c>
      <c r="C439" s="94"/>
      <c r="D439" s="94"/>
      <c r="E439" s="94"/>
      <c r="F439" s="94"/>
      <c r="G439" s="94"/>
      <c r="H439" s="94"/>
      <c r="I439" s="491" t="s">
        <v>1174</v>
      </c>
      <c r="J439" s="491" t="s">
        <v>67</v>
      </c>
      <c r="K439" s="469" t="s">
        <v>1113</v>
      </c>
      <c r="L439" s="95" t="s">
        <v>34</v>
      </c>
      <c r="M439" s="95" t="s">
        <v>35</v>
      </c>
      <c r="N439" s="104">
        <v>473.67399999999998</v>
      </c>
      <c r="O439" s="104">
        <v>473.63</v>
      </c>
      <c r="P439" s="104">
        <v>0</v>
      </c>
      <c r="Q439" s="104">
        <v>0</v>
      </c>
      <c r="R439" s="104">
        <v>0</v>
      </c>
    </row>
    <row r="440" spans="1:18" s="107" customFormat="1" ht="61.5" customHeight="1">
      <c r="A440" s="94" t="s">
        <v>1252</v>
      </c>
      <c r="B440" s="95" t="s">
        <v>1102</v>
      </c>
      <c r="C440" s="94"/>
      <c r="D440" s="94"/>
      <c r="E440" s="94"/>
      <c r="F440" s="94"/>
      <c r="G440" s="94"/>
      <c r="H440" s="94"/>
      <c r="I440" s="322" t="s">
        <v>1195</v>
      </c>
      <c r="J440" s="491" t="s">
        <v>67</v>
      </c>
      <c r="K440" s="469" t="s">
        <v>1132</v>
      </c>
      <c r="L440" s="95" t="s">
        <v>34</v>
      </c>
      <c r="M440" s="95" t="s">
        <v>35</v>
      </c>
      <c r="N440" s="104">
        <v>788.64</v>
      </c>
      <c r="O440" s="104">
        <v>788.64</v>
      </c>
      <c r="P440" s="104">
        <v>0</v>
      </c>
      <c r="Q440" s="104">
        <v>0</v>
      </c>
      <c r="R440" s="104">
        <v>0</v>
      </c>
    </row>
    <row r="441" spans="1:18" s="107" customFormat="1" ht="48">
      <c r="A441" s="563" t="s">
        <v>1253</v>
      </c>
      <c r="B441" s="602" t="s">
        <v>690</v>
      </c>
      <c r="C441" s="96"/>
      <c r="D441" s="96"/>
      <c r="E441" s="96"/>
      <c r="F441" s="96"/>
      <c r="G441" s="96"/>
      <c r="H441" s="96"/>
      <c r="I441" s="425" t="s">
        <v>1131</v>
      </c>
      <c r="J441" s="498" t="s">
        <v>67</v>
      </c>
      <c r="K441" s="503" t="s">
        <v>1132</v>
      </c>
      <c r="L441" s="481" t="s">
        <v>34</v>
      </c>
      <c r="M441" s="481" t="s">
        <v>35</v>
      </c>
      <c r="N441" s="83">
        <v>720.33399999999995</v>
      </c>
      <c r="O441" s="83">
        <v>720.33399999999995</v>
      </c>
      <c r="P441" s="83">
        <v>0</v>
      </c>
      <c r="Q441" s="83">
        <v>0</v>
      </c>
      <c r="R441" s="83">
        <v>0</v>
      </c>
    </row>
    <row r="442" spans="1:18" s="107" customFormat="1" ht="60">
      <c r="A442" s="564"/>
      <c r="B442" s="659"/>
      <c r="C442" s="100"/>
      <c r="D442" s="100"/>
      <c r="E442" s="100"/>
      <c r="F442" s="100"/>
      <c r="G442" s="100"/>
      <c r="H442" s="100"/>
      <c r="I442" s="426" t="s">
        <v>1175</v>
      </c>
      <c r="J442" s="502" t="s">
        <v>67</v>
      </c>
      <c r="K442" s="504" t="s">
        <v>1176</v>
      </c>
      <c r="L442" s="511"/>
      <c r="M442" s="511"/>
      <c r="N442" s="101"/>
      <c r="O442" s="101"/>
      <c r="P442" s="101"/>
      <c r="Q442" s="101"/>
      <c r="R442" s="101"/>
    </row>
    <row r="443" spans="1:18" s="107" customFormat="1" ht="48">
      <c r="A443" s="96" t="s">
        <v>1254</v>
      </c>
      <c r="B443" s="481" t="s">
        <v>1153</v>
      </c>
      <c r="C443" s="96"/>
      <c r="D443" s="96"/>
      <c r="E443" s="96"/>
      <c r="F443" s="96"/>
      <c r="G443" s="96"/>
      <c r="H443" s="96"/>
      <c r="I443" s="425" t="s">
        <v>1162</v>
      </c>
      <c r="J443" s="498" t="s">
        <v>67</v>
      </c>
      <c r="K443" s="503" t="s">
        <v>1161</v>
      </c>
      <c r="L443" s="481" t="s">
        <v>34</v>
      </c>
      <c r="M443" s="481" t="s">
        <v>35</v>
      </c>
      <c r="N443" s="83">
        <v>857.52200000000005</v>
      </c>
      <c r="O443" s="83">
        <v>857.52200000000005</v>
      </c>
      <c r="P443" s="83">
        <v>0</v>
      </c>
      <c r="Q443" s="83">
        <v>0</v>
      </c>
      <c r="R443" s="83">
        <v>0</v>
      </c>
    </row>
    <row r="444" spans="1:18" s="107" customFormat="1" ht="48">
      <c r="A444" s="100"/>
      <c r="B444" s="511"/>
      <c r="C444" s="100"/>
      <c r="D444" s="100"/>
      <c r="E444" s="100"/>
      <c r="F444" s="100"/>
      <c r="G444" s="100"/>
      <c r="H444" s="100"/>
      <c r="I444" s="426" t="s">
        <v>1179</v>
      </c>
      <c r="J444" s="502" t="s">
        <v>67</v>
      </c>
      <c r="K444" s="504" t="s">
        <v>1180</v>
      </c>
      <c r="L444" s="511"/>
      <c r="M444" s="511"/>
      <c r="N444" s="101"/>
      <c r="O444" s="101"/>
      <c r="P444" s="101"/>
      <c r="Q444" s="101"/>
      <c r="R444" s="101"/>
    </row>
    <row r="445" spans="1:18" s="107" customFormat="1" ht="87.75" customHeight="1">
      <c r="A445" s="94" t="s">
        <v>1255</v>
      </c>
      <c r="B445" s="95" t="s">
        <v>1154</v>
      </c>
      <c r="C445" s="94"/>
      <c r="D445" s="94"/>
      <c r="E445" s="94"/>
      <c r="F445" s="94"/>
      <c r="G445" s="94"/>
      <c r="H445" s="94"/>
      <c r="I445" s="322" t="s">
        <v>1365</v>
      </c>
      <c r="J445" s="491" t="s">
        <v>67</v>
      </c>
      <c r="K445" s="469" t="s">
        <v>1161</v>
      </c>
      <c r="L445" s="95" t="s">
        <v>34</v>
      </c>
      <c r="M445" s="95" t="s">
        <v>35</v>
      </c>
      <c r="N445" s="104">
        <v>3227.8890000000001</v>
      </c>
      <c r="O445" s="104">
        <v>3227.8890000000001</v>
      </c>
      <c r="P445" s="104">
        <v>0</v>
      </c>
      <c r="Q445" s="104">
        <v>0</v>
      </c>
      <c r="R445" s="104">
        <v>0</v>
      </c>
    </row>
    <row r="446" spans="1:18" s="107" customFormat="1" ht="48" customHeight="1">
      <c r="A446" s="94" t="s">
        <v>1256</v>
      </c>
      <c r="B446" s="95" t="s">
        <v>1183</v>
      </c>
      <c r="C446" s="94"/>
      <c r="D446" s="94"/>
      <c r="E446" s="94"/>
      <c r="F446" s="94"/>
      <c r="G446" s="94"/>
      <c r="H446" s="94"/>
      <c r="I446" s="322" t="s">
        <v>1194</v>
      </c>
      <c r="J446" s="491" t="s">
        <v>67</v>
      </c>
      <c r="K446" s="469" t="s">
        <v>1193</v>
      </c>
      <c r="L446" s="95" t="s">
        <v>34</v>
      </c>
      <c r="M446" s="95" t="s">
        <v>35</v>
      </c>
      <c r="N446" s="104">
        <v>492</v>
      </c>
      <c r="O446" s="104">
        <v>492</v>
      </c>
      <c r="P446" s="104">
        <v>0</v>
      </c>
      <c r="Q446" s="104">
        <v>0</v>
      </c>
      <c r="R446" s="104">
        <v>0</v>
      </c>
    </row>
    <row r="447" spans="1:18" s="107" customFormat="1" ht="60">
      <c r="A447" s="94" t="s">
        <v>1305</v>
      </c>
      <c r="B447" s="95" t="s">
        <v>801</v>
      </c>
      <c r="C447" s="94"/>
      <c r="D447" s="94"/>
      <c r="E447" s="94"/>
      <c r="F447" s="94"/>
      <c r="G447" s="94"/>
      <c r="H447" s="94"/>
      <c r="I447" s="322" t="s">
        <v>1320</v>
      </c>
      <c r="J447" s="491" t="s">
        <v>67</v>
      </c>
      <c r="K447" s="469" t="s">
        <v>1321</v>
      </c>
      <c r="L447" s="95" t="s">
        <v>34</v>
      </c>
      <c r="M447" s="95" t="s">
        <v>35</v>
      </c>
      <c r="N447" s="104">
        <v>0</v>
      </c>
      <c r="O447" s="104">
        <v>0</v>
      </c>
      <c r="P447" s="104">
        <v>576</v>
      </c>
      <c r="Q447" s="104">
        <v>0</v>
      </c>
      <c r="R447" s="104">
        <v>0</v>
      </c>
    </row>
    <row r="448" spans="1:18" s="107" customFormat="1" ht="83.25" customHeight="1">
      <c r="A448" s="94" t="s">
        <v>1306</v>
      </c>
      <c r="B448" s="95" t="s">
        <v>517</v>
      </c>
      <c r="C448" s="94"/>
      <c r="D448" s="94"/>
      <c r="E448" s="94"/>
      <c r="F448" s="94"/>
      <c r="G448" s="94"/>
      <c r="H448" s="94"/>
      <c r="I448" s="322" t="s">
        <v>1322</v>
      </c>
      <c r="J448" s="491" t="s">
        <v>67</v>
      </c>
      <c r="K448" s="469" t="s">
        <v>1321</v>
      </c>
      <c r="L448" s="95" t="s">
        <v>34</v>
      </c>
      <c r="M448" s="95" t="s">
        <v>35</v>
      </c>
      <c r="N448" s="104">
        <v>0</v>
      </c>
      <c r="O448" s="104">
        <v>0</v>
      </c>
      <c r="P448" s="104">
        <v>882</v>
      </c>
      <c r="Q448" s="104">
        <v>0</v>
      </c>
      <c r="R448" s="104">
        <v>0</v>
      </c>
    </row>
    <row r="449" spans="1:18" s="107" customFormat="1" ht="36" customHeight="1">
      <c r="A449" s="563" t="s">
        <v>1379</v>
      </c>
      <c r="B449" s="602" t="s">
        <v>871</v>
      </c>
      <c r="C449" s="536"/>
      <c r="D449" s="536"/>
      <c r="E449" s="536"/>
      <c r="F449" s="536" t="s">
        <v>973</v>
      </c>
      <c r="G449" s="536" t="s">
        <v>1390</v>
      </c>
      <c r="H449" s="536" t="s">
        <v>983</v>
      </c>
      <c r="I449" s="491" t="s">
        <v>1389</v>
      </c>
      <c r="J449" s="491" t="s">
        <v>67</v>
      </c>
      <c r="K449" s="469" t="s">
        <v>1398</v>
      </c>
      <c r="L449" s="481" t="s">
        <v>34</v>
      </c>
      <c r="M449" s="481" t="s">
        <v>35</v>
      </c>
      <c r="N449" s="83">
        <v>0</v>
      </c>
      <c r="O449" s="83">
        <v>0</v>
      </c>
      <c r="P449" s="83">
        <v>1770.7049999999999</v>
      </c>
      <c r="Q449" s="83">
        <v>0</v>
      </c>
      <c r="R449" s="83">
        <v>0</v>
      </c>
    </row>
    <row r="450" spans="1:18" s="107" customFormat="1" ht="84.75" customHeight="1">
      <c r="A450" s="564"/>
      <c r="B450" s="659"/>
      <c r="C450" s="537"/>
      <c r="D450" s="537"/>
      <c r="E450" s="537"/>
      <c r="F450" s="537"/>
      <c r="G450" s="537"/>
      <c r="H450" s="537"/>
      <c r="I450" s="491" t="s">
        <v>1395</v>
      </c>
      <c r="J450" s="491" t="s">
        <v>67</v>
      </c>
      <c r="K450" s="469" t="s">
        <v>1397</v>
      </c>
      <c r="L450" s="511"/>
      <c r="M450" s="511"/>
      <c r="N450" s="101"/>
      <c r="O450" s="101"/>
      <c r="P450" s="101"/>
      <c r="Q450" s="101"/>
      <c r="R450" s="101"/>
    </row>
    <row r="451" spans="1:18" s="107" customFormat="1" ht="84">
      <c r="A451" s="94" t="s">
        <v>1380</v>
      </c>
      <c r="B451" s="95" t="s">
        <v>1378</v>
      </c>
      <c r="C451" s="94"/>
      <c r="D451" s="94"/>
      <c r="E451" s="94"/>
      <c r="F451" s="94"/>
      <c r="G451" s="94"/>
      <c r="H451" s="94"/>
      <c r="I451" s="491" t="s">
        <v>1396</v>
      </c>
      <c r="J451" s="491" t="s">
        <v>67</v>
      </c>
      <c r="K451" s="469" t="s">
        <v>1397</v>
      </c>
      <c r="L451" s="95" t="s">
        <v>34</v>
      </c>
      <c r="M451" s="95" t="s">
        <v>35</v>
      </c>
      <c r="N451" s="104">
        <v>0</v>
      </c>
      <c r="O451" s="104">
        <v>0</v>
      </c>
      <c r="P451" s="104">
        <v>317.12900000000002</v>
      </c>
      <c r="Q451" s="104">
        <v>0</v>
      </c>
      <c r="R451" s="104">
        <v>0</v>
      </c>
    </row>
    <row r="452" spans="1:18" s="107" customFormat="1" ht="48">
      <c r="A452" s="94" t="s">
        <v>1409</v>
      </c>
      <c r="B452" s="95" t="s">
        <v>1410</v>
      </c>
      <c r="C452" s="94"/>
      <c r="D452" s="94"/>
      <c r="E452" s="94"/>
      <c r="F452" s="94"/>
      <c r="G452" s="94"/>
      <c r="H452" s="94"/>
      <c r="I452" s="491" t="s">
        <v>1434</v>
      </c>
      <c r="J452" s="491" t="s">
        <v>67</v>
      </c>
      <c r="K452" s="469" t="s">
        <v>1432</v>
      </c>
      <c r="L452" s="95" t="s">
        <v>34</v>
      </c>
      <c r="M452" s="95" t="s">
        <v>35</v>
      </c>
      <c r="N452" s="104">
        <v>0</v>
      </c>
      <c r="O452" s="104">
        <v>0</v>
      </c>
      <c r="P452" s="104">
        <v>306</v>
      </c>
      <c r="Q452" s="104">
        <v>0</v>
      </c>
      <c r="R452" s="104">
        <v>0</v>
      </c>
    </row>
    <row r="453" spans="1:18" s="107" customFormat="1" ht="72">
      <c r="A453" s="94" t="s">
        <v>1469</v>
      </c>
      <c r="B453" s="95" t="s">
        <v>1049</v>
      </c>
      <c r="C453" s="94"/>
      <c r="D453" s="94"/>
      <c r="E453" s="94"/>
      <c r="F453" s="94"/>
      <c r="G453" s="94"/>
      <c r="H453" s="94"/>
      <c r="I453" s="491" t="s">
        <v>1492</v>
      </c>
      <c r="J453" s="491" t="s">
        <v>67</v>
      </c>
      <c r="K453" s="469" t="s">
        <v>1493</v>
      </c>
      <c r="L453" s="95" t="s">
        <v>34</v>
      </c>
      <c r="M453" s="95" t="s">
        <v>35</v>
      </c>
      <c r="N453" s="104">
        <v>0</v>
      </c>
      <c r="O453" s="104">
        <v>0</v>
      </c>
      <c r="P453" s="104">
        <v>15000</v>
      </c>
      <c r="Q453" s="104">
        <v>0</v>
      </c>
      <c r="R453" s="104">
        <v>0</v>
      </c>
    </row>
    <row r="454" spans="1:18" s="108" customFormat="1" ht="24">
      <c r="A454" s="65" t="s">
        <v>639</v>
      </c>
      <c r="B454" s="466"/>
      <c r="C454" s="65"/>
      <c r="D454" s="65"/>
      <c r="E454" s="65"/>
      <c r="F454" s="65"/>
      <c r="G454" s="65"/>
      <c r="H454" s="65"/>
      <c r="I454" s="10"/>
      <c r="J454" s="10"/>
      <c r="K454" s="11"/>
      <c r="L454" s="466"/>
      <c r="M454" s="466"/>
      <c r="N454" s="65"/>
      <c r="O454" s="65"/>
      <c r="P454" s="65"/>
      <c r="Q454" s="65"/>
      <c r="R454" s="65"/>
    </row>
    <row r="455" spans="1:18" s="107" customFormat="1" ht="108">
      <c r="A455" s="42" t="s">
        <v>640</v>
      </c>
      <c r="B455" s="509" t="s">
        <v>802</v>
      </c>
      <c r="C455" s="42"/>
      <c r="D455" s="42"/>
      <c r="E455" s="42"/>
      <c r="F455" s="314" t="s">
        <v>971</v>
      </c>
      <c r="G455" s="19" t="s">
        <v>972</v>
      </c>
      <c r="H455" s="19" t="s">
        <v>983</v>
      </c>
      <c r="I455" s="19" t="s">
        <v>1189</v>
      </c>
      <c r="J455" s="19" t="s">
        <v>67</v>
      </c>
      <c r="K455" s="19" t="s">
        <v>917</v>
      </c>
      <c r="L455" s="509" t="s">
        <v>34</v>
      </c>
      <c r="M455" s="509" t="s">
        <v>35</v>
      </c>
      <c r="N455" s="110">
        <v>31282.1</v>
      </c>
      <c r="O455" s="110">
        <v>31281.761999999999</v>
      </c>
      <c r="P455" s="110">
        <v>29803.200000000001</v>
      </c>
      <c r="Q455" s="110">
        <v>0</v>
      </c>
      <c r="R455" s="110">
        <v>0</v>
      </c>
    </row>
    <row r="456" spans="1:18" s="107" customFormat="1" ht="36.75" customHeight="1">
      <c r="A456" s="563" t="s">
        <v>1381</v>
      </c>
      <c r="B456" s="602" t="s">
        <v>902</v>
      </c>
      <c r="C456" s="536"/>
      <c r="D456" s="536"/>
      <c r="E456" s="536"/>
      <c r="F456" s="536" t="s">
        <v>973</v>
      </c>
      <c r="G456" s="536" t="s">
        <v>1390</v>
      </c>
      <c r="H456" s="536" t="s">
        <v>983</v>
      </c>
      <c r="I456" s="491" t="s">
        <v>1389</v>
      </c>
      <c r="J456" s="491" t="s">
        <v>67</v>
      </c>
      <c r="K456" s="469" t="s">
        <v>1398</v>
      </c>
      <c r="L456" s="481" t="s">
        <v>34</v>
      </c>
      <c r="M456" s="481" t="s">
        <v>35</v>
      </c>
      <c r="N456" s="83">
        <v>10000</v>
      </c>
      <c r="O456" s="83">
        <v>10000</v>
      </c>
      <c r="P456" s="83">
        <v>7500</v>
      </c>
      <c r="Q456" s="83">
        <v>0</v>
      </c>
      <c r="R456" s="83">
        <v>0</v>
      </c>
    </row>
    <row r="457" spans="1:18" s="107" customFormat="1" ht="84.75" customHeight="1">
      <c r="A457" s="564"/>
      <c r="B457" s="659"/>
      <c r="C457" s="537"/>
      <c r="D457" s="537"/>
      <c r="E457" s="537"/>
      <c r="F457" s="537"/>
      <c r="G457" s="537"/>
      <c r="H457" s="537"/>
      <c r="I457" s="491" t="s">
        <v>1395</v>
      </c>
      <c r="J457" s="491" t="s">
        <v>67</v>
      </c>
      <c r="K457" s="469" t="s">
        <v>1397</v>
      </c>
      <c r="L457" s="511"/>
      <c r="M457" s="511"/>
      <c r="N457" s="101"/>
      <c r="O457" s="101"/>
      <c r="P457" s="101"/>
      <c r="Q457" s="101"/>
      <c r="R457" s="101"/>
    </row>
    <row r="458" spans="1:18" s="107" customFormat="1" ht="96" customHeight="1">
      <c r="A458" s="94" t="s">
        <v>1257</v>
      </c>
      <c r="B458" s="95" t="s">
        <v>487</v>
      </c>
      <c r="C458" s="94"/>
      <c r="D458" s="94"/>
      <c r="E458" s="94"/>
      <c r="F458" s="468" t="s">
        <v>973</v>
      </c>
      <c r="G458" s="94" t="s">
        <v>974</v>
      </c>
      <c r="H458" s="94" t="s">
        <v>983</v>
      </c>
      <c r="I458" s="491" t="s">
        <v>1396</v>
      </c>
      <c r="J458" s="491" t="s">
        <v>67</v>
      </c>
      <c r="K458" s="469" t="s">
        <v>1397</v>
      </c>
      <c r="L458" s="95" t="s">
        <v>34</v>
      </c>
      <c r="M458" s="95" t="s">
        <v>35</v>
      </c>
      <c r="N458" s="104">
        <v>5080.8</v>
      </c>
      <c r="O458" s="104">
        <v>5080.32</v>
      </c>
      <c r="P458" s="104">
        <v>1996.5</v>
      </c>
      <c r="Q458" s="104">
        <v>0</v>
      </c>
      <c r="R458" s="104">
        <v>0</v>
      </c>
    </row>
    <row r="459" spans="1:18" s="107" customFormat="1" ht="84.75" customHeight="1">
      <c r="A459" s="94" t="s">
        <v>900</v>
      </c>
      <c r="B459" s="95" t="s">
        <v>901</v>
      </c>
      <c r="C459" s="94"/>
      <c r="D459" s="94"/>
      <c r="E459" s="94"/>
      <c r="F459" s="94"/>
      <c r="G459" s="94"/>
      <c r="H459" s="94"/>
      <c r="I459" s="322" t="s">
        <v>1366</v>
      </c>
      <c r="J459" s="491" t="s">
        <v>67</v>
      </c>
      <c r="K459" s="469" t="s">
        <v>1161</v>
      </c>
      <c r="L459" s="95" t="s">
        <v>34</v>
      </c>
      <c r="M459" s="95" t="s">
        <v>35</v>
      </c>
      <c r="N459" s="104">
        <v>29051.003000000001</v>
      </c>
      <c r="O459" s="104">
        <v>29051.003000000001</v>
      </c>
      <c r="P459" s="104">
        <v>0</v>
      </c>
      <c r="Q459" s="104">
        <v>0</v>
      </c>
      <c r="R459" s="104">
        <v>0</v>
      </c>
    </row>
    <row r="460" spans="1:18" s="107" customFormat="1" ht="74.25" customHeight="1">
      <c r="A460" s="94" t="s">
        <v>1471</v>
      </c>
      <c r="B460" s="95" t="s">
        <v>1470</v>
      </c>
      <c r="C460" s="94"/>
      <c r="D460" s="94"/>
      <c r="E460" s="94"/>
      <c r="F460" s="468"/>
      <c r="G460" s="468"/>
      <c r="H460" s="468"/>
      <c r="I460" s="491" t="s">
        <v>1492</v>
      </c>
      <c r="J460" s="491" t="s">
        <v>67</v>
      </c>
      <c r="K460" s="469" t="s">
        <v>1493</v>
      </c>
      <c r="L460" s="95" t="s">
        <v>34</v>
      </c>
      <c r="M460" s="95" t="s">
        <v>35</v>
      </c>
      <c r="N460" s="104">
        <v>0</v>
      </c>
      <c r="O460" s="104">
        <v>0</v>
      </c>
      <c r="P460" s="104">
        <v>15000</v>
      </c>
      <c r="Q460" s="104">
        <v>0</v>
      </c>
      <c r="R460" s="104">
        <v>0</v>
      </c>
    </row>
    <row r="461" spans="1:18" s="107" customFormat="1" ht="84" customHeight="1">
      <c r="A461" s="94" t="s">
        <v>1472</v>
      </c>
      <c r="B461" s="95" t="s">
        <v>837</v>
      </c>
      <c r="C461" s="94"/>
      <c r="D461" s="94"/>
      <c r="E461" s="94"/>
      <c r="F461" s="468"/>
      <c r="G461" s="468"/>
      <c r="H461" s="468"/>
      <c r="I461" s="491" t="s">
        <v>1496</v>
      </c>
      <c r="J461" s="491" t="s">
        <v>67</v>
      </c>
      <c r="K461" s="469" t="s">
        <v>1493</v>
      </c>
      <c r="L461" s="95" t="s">
        <v>34</v>
      </c>
      <c r="M461" s="95" t="s">
        <v>35</v>
      </c>
      <c r="N461" s="104">
        <v>0</v>
      </c>
      <c r="O461" s="104">
        <v>0</v>
      </c>
      <c r="P461" s="104">
        <v>849.75</v>
      </c>
      <c r="Q461" s="104">
        <v>0</v>
      </c>
      <c r="R461" s="104">
        <v>0</v>
      </c>
    </row>
    <row r="462" spans="1:18" s="108" customFormat="1" ht="181.5" customHeight="1">
      <c r="A462" s="52" t="s">
        <v>641</v>
      </c>
      <c r="B462" s="477">
        <v>2304</v>
      </c>
      <c r="C462" s="52" t="s">
        <v>30</v>
      </c>
      <c r="D462" s="52" t="s">
        <v>30</v>
      </c>
      <c r="E462" s="52" t="s">
        <v>30</v>
      </c>
      <c r="F462" s="52" t="s">
        <v>30</v>
      </c>
      <c r="G462" s="52" t="s">
        <v>30</v>
      </c>
      <c r="H462" s="52" t="s">
        <v>30</v>
      </c>
      <c r="I462" s="52" t="s">
        <v>30</v>
      </c>
      <c r="J462" s="52" t="s">
        <v>30</v>
      </c>
      <c r="K462" s="52" t="s">
        <v>30</v>
      </c>
      <c r="L462" s="451"/>
      <c r="M462" s="451"/>
      <c r="N462" s="53">
        <f>SUM(N463:N469)</f>
        <v>50585.372000000003</v>
      </c>
      <c r="O462" s="53">
        <f>SUM(O463:O469)</f>
        <v>50491.759000000005</v>
      </c>
      <c r="P462" s="53">
        <f>SUM(P463:P470)</f>
        <v>58527.186000000002</v>
      </c>
      <c r="Q462" s="53">
        <f t="shared" ref="Q462:R462" si="69">SUM(Q463:Q470)</f>
        <v>0</v>
      </c>
      <c r="R462" s="53">
        <f t="shared" si="69"/>
        <v>0</v>
      </c>
    </row>
    <row r="463" spans="1:18" s="107" customFormat="1" ht="96">
      <c r="A463" s="49" t="s">
        <v>1258</v>
      </c>
      <c r="B463" s="508" t="s">
        <v>309</v>
      </c>
      <c r="C463" s="49"/>
      <c r="D463" s="49"/>
      <c r="E463" s="49"/>
      <c r="F463" s="49"/>
      <c r="G463" s="49"/>
      <c r="H463" s="49"/>
      <c r="I463" s="315" t="s">
        <v>1498</v>
      </c>
      <c r="J463" s="472" t="s">
        <v>67</v>
      </c>
      <c r="K463" s="472" t="s">
        <v>1287</v>
      </c>
      <c r="L463" s="71" t="s">
        <v>36</v>
      </c>
      <c r="M463" s="508" t="s">
        <v>37</v>
      </c>
      <c r="N463" s="18">
        <v>6057</v>
      </c>
      <c r="O463" s="18">
        <v>6057</v>
      </c>
      <c r="P463" s="18">
        <v>13957</v>
      </c>
      <c r="Q463" s="374">
        <v>0</v>
      </c>
      <c r="R463" s="159">
        <v>0</v>
      </c>
    </row>
    <row r="464" spans="1:18" s="107" customFormat="1" ht="84" customHeight="1">
      <c r="A464" s="45"/>
      <c r="B464" s="68"/>
      <c r="C464" s="45"/>
      <c r="D464" s="45"/>
      <c r="E464" s="45"/>
      <c r="F464" s="42"/>
      <c r="G464" s="42"/>
      <c r="H464" s="42"/>
      <c r="I464" s="278" t="s">
        <v>1177</v>
      </c>
      <c r="J464" s="473" t="s">
        <v>67</v>
      </c>
      <c r="K464" s="473" t="s">
        <v>79</v>
      </c>
      <c r="L464" s="433"/>
      <c r="M464" s="433"/>
      <c r="N464" s="55"/>
      <c r="O464" s="55"/>
      <c r="P464" s="55"/>
      <c r="Q464" s="376"/>
      <c r="R464" s="162"/>
    </row>
    <row r="465" spans="1:18" s="107" customFormat="1" ht="72" customHeight="1">
      <c r="A465" s="601" t="s">
        <v>1259</v>
      </c>
      <c r="B465" s="481" t="s">
        <v>518</v>
      </c>
      <c r="C465" s="43"/>
      <c r="D465" s="43"/>
      <c r="E465" s="43"/>
      <c r="F465" s="538" t="s">
        <v>975</v>
      </c>
      <c r="G465" s="538" t="s">
        <v>976</v>
      </c>
      <c r="H465" s="538" t="s">
        <v>983</v>
      </c>
      <c r="I465" s="489" t="s">
        <v>1429</v>
      </c>
      <c r="J465" s="489" t="s">
        <v>67</v>
      </c>
      <c r="K465" s="489" t="s">
        <v>1430</v>
      </c>
      <c r="L465" s="71" t="s">
        <v>36</v>
      </c>
      <c r="M465" s="508" t="s">
        <v>37</v>
      </c>
      <c r="N465" s="18">
        <v>39446.714999999997</v>
      </c>
      <c r="O465" s="18">
        <v>39362.173000000003</v>
      </c>
      <c r="P465" s="18">
        <v>42087.93</v>
      </c>
      <c r="Q465" s="18"/>
      <c r="R465" s="18">
        <v>0</v>
      </c>
    </row>
    <row r="466" spans="1:18" s="107" customFormat="1" ht="71.25" customHeight="1">
      <c r="A466" s="564"/>
      <c r="B466" s="95" t="s">
        <v>466</v>
      </c>
      <c r="C466" s="454"/>
      <c r="D466" s="454"/>
      <c r="E466" s="454"/>
      <c r="F466" s="538"/>
      <c r="G466" s="538"/>
      <c r="H466" s="538"/>
      <c r="I466" s="441" t="s">
        <v>1367</v>
      </c>
      <c r="J466" s="392" t="s">
        <v>67</v>
      </c>
      <c r="K466" s="441" t="s">
        <v>1368</v>
      </c>
      <c r="L466" s="95" t="s">
        <v>36</v>
      </c>
      <c r="M466" s="95" t="s">
        <v>37</v>
      </c>
      <c r="N466" s="99">
        <v>4337.6580000000004</v>
      </c>
      <c r="O466" s="99">
        <v>4328.5870000000004</v>
      </c>
      <c r="P466" s="99">
        <v>2215.1559999999999</v>
      </c>
      <c r="Q466" s="99"/>
      <c r="R466" s="99">
        <v>0</v>
      </c>
    </row>
    <row r="467" spans="1:18" s="107" customFormat="1" ht="81.75" customHeight="1">
      <c r="A467" s="372" t="s">
        <v>1260</v>
      </c>
      <c r="B467" s="95" t="s">
        <v>553</v>
      </c>
      <c r="C467" s="468"/>
      <c r="D467" s="468"/>
      <c r="E467" s="468"/>
      <c r="F467" s="468"/>
      <c r="G467" s="468"/>
      <c r="H467" s="468"/>
      <c r="I467" s="458" t="s">
        <v>1060</v>
      </c>
      <c r="J467" s="458" t="s">
        <v>67</v>
      </c>
      <c r="K467" s="458" t="s">
        <v>1046</v>
      </c>
      <c r="L467" s="95" t="s">
        <v>36</v>
      </c>
      <c r="M467" s="95" t="s">
        <v>37</v>
      </c>
      <c r="N467" s="99">
        <v>503.99900000000002</v>
      </c>
      <c r="O467" s="99">
        <v>503.99900000000002</v>
      </c>
      <c r="P467" s="99">
        <v>0</v>
      </c>
      <c r="Q467" s="99"/>
      <c r="R467" s="99">
        <v>0</v>
      </c>
    </row>
    <row r="468" spans="1:18" s="107" customFormat="1" ht="86.25" customHeight="1">
      <c r="A468" s="372" t="s">
        <v>1261</v>
      </c>
      <c r="B468" s="95" t="s">
        <v>477</v>
      </c>
      <c r="C468" s="468"/>
      <c r="D468" s="468"/>
      <c r="E468" s="468"/>
      <c r="F468" s="468"/>
      <c r="G468" s="468"/>
      <c r="H468" s="468"/>
      <c r="I468" s="458" t="s">
        <v>1116</v>
      </c>
      <c r="J468" s="458" t="s">
        <v>67</v>
      </c>
      <c r="K468" s="458" t="s">
        <v>1112</v>
      </c>
      <c r="L468" s="95" t="s">
        <v>36</v>
      </c>
      <c r="M468" s="95" t="s">
        <v>37</v>
      </c>
      <c r="N468" s="99">
        <v>90</v>
      </c>
      <c r="O468" s="99">
        <v>90</v>
      </c>
      <c r="P468" s="99">
        <v>0</v>
      </c>
      <c r="Q468" s="99"/>
      <c r="R468" s="99">
        <v>0</v>
      </c>
    </row>
    <row r="469" spans="1:18" s="107" customFormat="1" ht="86.25" customHeight="1">
      <c r="A469" s="372" t="s">
        <v>1262</v>
      </c>
      <c r="B469" s="95" t="s">
        <v>1184</v>
      </c>
      <c r="C469" s="468"/>
      <c r="D469" s="468"/>
      <c r="E469" s="468"/>
      <c r="F469" s="468"/>
      <c r="G469" s="468"/>
      <c r="H469" s="468"/>
      <c r="I469" s="458" t="s">
        <v>1192</v>
      </c>
      <c r="J469" s="458" t="s">
        <v>67</v>
      </c>
      <c r="K469" s="458" t="s">
        <v>1193</v>
      </c>
      <c r="L469" s="95" t="s">
        <v>36</v>
      </c>
      <c r="M469" s="95" t="s">
        <v>37</v>
      </c>
      <c r="N469" s="99">
        <v>150</v>
      </c>
      <c r="O469" s="99">
        <v>150</v>
      </c>
      <c r="P469" s="99">
        <v>0</v>
      </c>
      <c r="Q469" s="99"/>
      <c r="R469" s="99">
        <v>0</v>
      </c>
    </row>
    <row r="470" spans="1:18" s="107" customFormat="1" ht="84">
      <c r="A470" s="372" t="s">
        <v>1473</v>
      </c>
      <c r="B470" s="95" t="s">
        <v>553</v>
      </c>
      <c r="C470" s="468"/>
      <c r="D470" s="468"/>
      <c r="E470" s="468"/>
      <c r="F470" s="468"/>
      <c r="G470" s="468"/>
      <c r="H470" s="468"/>
      <c r="I470" s="458" t="s">
        <v>1499</v>
      </c>
      <c r="J470" s="458"/>
      <c r="K470" s="458"/>
      <c r="L470" s="95" t="s">
        <v>36</v>
      </c>
      <c r="M470" s="95" t="s">
        <v>37</v>
      </c>
      <c r="N470" s="99">
        <v>0</v>
      </c>
      <c r="O470" s="99">
        <v>0</v>
      </c>
      <c r="P470" s="99">
        <v>267.10000000000002</v>
      </c>
      <c r="Q470" s="99">
        <v>0</v>
      </c>
      <c r="R470" s="99">
        <v>0</v>
      </c>
    </row>
    <row r="471" spans="1:18" s="108" customFormat="1" ht="120" customHeight="1">
      <c r="A471" s="73" t="s">
        <v>1474</v>
      </c>
      <c r="B471" s="294" t="s">
        <v>642</v>
      </c>
      <c r="C471" s="52"/>
      <c r="D471" s="52"/>
      <c r="E471" s="52"/>
      <c r="F471" s="52"/>
      <c r="G471" s="52"/>
      <c r="H471" s="47"/>
      <c r="I471" s="30"/>
      <c r="J471" s="30"/>
      <c r="K471" s="30"/>
      <c r="L471" s="57"/>
      <c r="M471" s="477"/>
      <c r="N471" s="53">
        <f t="shared" ref="N471:O471" si="70">SUM(N472:N477)</f>
        <v>3728.51</v>
      </c>
      <c r="O471" s="53">
        <f t="shared" si="70"/>
        <v>2053</v>
      </c>
      <c r="P471" s="53">
        <f>SUM(P472:P477)</f>
        <v>3589.027</v>
      </c>
      <c r="Q471" s="53">
        <f t="shared" ref="Q471:R471" si="71">SUM(Q472:Q477)</f>
        <v>0</v>
      </c>
      <c r="R471" s="53">
        <f t="shared" si="71"/>
        <v>0</v>
      </c>
    </row>
    <row r="472" spans="1:18" s="107" customFormat="1" ht="48">
      <c r="A472" s="96" t="s">
        <v>1311</v>
      </c>
      <c r="B472" s="481" t="s">
        <v>1312</v>
      </c>
      <c r="C472" s="96"/>
      <c r="D472" s="96"/>
      <c r="E472" s="96"/>
      <c r="F472" s="96"/>
      <c r="G472" s="96"/>
      <c r="H472" s="96"/>
      <c r="I472" s="397" t="s">
        <v>1325</v>
      </c>
      <c r="J472" s="488" t="s">
        <v>67</v>
      </c>
      <c r="K472" s="488" t="s">
        <v>1321</v>
      </c>
      <c r="L472" s="481" t="s">
        <v>34</v>
      </c>
      <c r="M472" s="481" t="s">
        <v>31</v>
      </c>
      <c r="N472" s="231">
        <v>0</v>
      </c>
      <c r="O472" s="231">
        <v>0</v>
      </c>
      <c r="P472" s="231">
        <v>1019.607</v>
      </c>
      <c r="Q472" s="231">
        <v>0</v>
      </c>
      <c r="R472" s="231">
        <v>0</v>
      </c>
    </row>
    <row r="473" spans="1:18" s="107" customFormat="1" ht="48">
      <c r="A473" s="100"/>
      <c r="B473" s="511"/>
      <c r="C473" s="100"/>
      <c r="D473" s="100"/>
      <c r="E473" s="100"/>
      <c r="F473" s="100"/>
      <c r="G473" s="100"/>
      <c r="H473" s="100"/>
      <c r="I473" s="397" t="s">
        <v>1494</v>
      </c>
      <c r="J473" s="488" t="s">
        <v>67</v>
      </c>
      <c r="K473" s="488" t="s">
        <v>1495</v>
      </c>
      <c r="L473" s="511"/>
      <c r="M473" s="511"/>
      <c r="N473" s="66"/>
      <c r="O473" s="66"/>
      <c r="P473" s="66"/>
      <c r="Q473" s="66"/>
      <c r="R473" s="66"/>
    </row>
    <row r="474" spans="1:18" s="107" customFormat="1" ht="83.25" hidden="1" customHeight="1">
      <c r="A474" s="94" t="s">
        <v>1313</v>
      </c>
      <c r="B474" s="95" t="s">
        <v>519</v>
      </c>
      <c r="C474" s="94"/>
      <c r="D474" s="94"/>
      <c r="E474" s="94"/>
      <c r="F474" s="468" t="s">
        <v>977</v>
      </c>
      <c r="G474" s="468" t="s">
        <v>978</v>
      </c>
      <c r="H474" s="468" t="s">
        <v>989</v>
      </c>
      <c r="I474" s="468" t="s">
        <v>899</v>
      </c>
      <c r="J474" s="94"/>
      <c r="K474" s="94"/>
      <c r="L474" s="468" t="s">
        <v>34</v>
      </c>
      <c r="M474" s="468" t="s">
        <v>31</v>
      </c>
      <c r="N474" s="99">
        <v>0</v>
      </c>
      <c r="O474" s="99"/>
      <c r="P474" s="99">
        <v>0</v>
      </c>
      <c r="Q474" s="99">
        <v>0</v>
      </c>
      <c r="R474" s="99">
        <v>0</v>
      </c>
    </row>
    <row r="475" spans="1:18" s="107" customFormat="1" ht="46.5" customHeight="1">
      <c r="A475" s="49" t="s">
        <v>1414</v>
      </c>
      <c r="B475" s="508" t="s">
        <v>312</v>
      </c>
      <c r="C475" s="534" t="s">
        <v>358</v>
      </c>
      <c r="D475" s="534" t="s">
        <v>189</v>
      </c>
      <c r="E475" s="534" t="s">
        <v>190</v>
      </c>
      <c r="F475" s="534" t="s">
        <v>1331</v>
      </c>
      <c r="G475" s="534" t="s">
        <v>67</v>
      </c>
      <c r="H475" s="592" t="s">
        <v>1332</v>
      </c>
      <c r="I475" s="338" t="s">
        <v>1440</v>
      </c>
      <c r="J475" s="498" t="s">
        <v>67</v>
      </c>
      <c r="K475" s="498" t="s">
        <v>1040</v>
      </c>
      <c r="L475" s="482" t="s">
        <v>22</v>
      </c>
      <c r="M475" s="482" t="s">
        <v>36</v>
      </c>
      <c r="N475" s="59">
        <v>2886.4360000000001</v>
      </c>
      <c r="O475" s="59">
        <v>2053</v>
      </c>
      <c r="P475" s="59">
        <v>895.62800000000004</v>
      </c>
      <c r="Q475" s="59"/>
      <c r="R475" s="59">
        <v>0</v>
      </c>
    </row>
    <row r="476" spans="1:18" s="107" customFormat="1" ht="47.25" customHeight="1">
      <c r="A476" s="42"/>
      <c r="B476" s="509"/>
      <c r="C476" s="531"/>
      <c r="D476" s="531"/>
      <c r="E476" s="531"/>
      <c r="F476" s="531"/>
      <c r="G476" s="531"/>
      <c r="H476" s="593"/>
      <c r="I476" s="342" t="s">
        <v>1056</v>
      </c>
      <c r="J476" s="484" t="s">
        <v>67</v>
      </c>
      <c r="K476" s="484" t="s">
        <v>1057</v>
      </c>
      <c r="L476" s="439"/>
      <c r="M476" s="439"/>
      <c r="N476" s="44"/>
      <c r="O476" s="44"/>
      <c r="P476" s="44"/>
      <c r="Q476" s="44"/>
      <c r="R476" s="44"/>
    </row>
    <row r="477" spans="1:18" s="107" customFormat="1" ht="86.25" customHeight="1">
      <c r="A477" s="42"/>
      <c r="B477" s="509" t="s">
        <v>808</v>
      </c>
      <c r="C477" s="531"/>
      <c r="D477" s="531"/>
      <c r="E477" s="531"/>
      <c r="F477" s="531"/>
      <c r="G477" s="531"/>
      <c r="H477" s="594"/>
      <c r="I477" s="176" t="s">
        <v>1330</v>
      </c>
      <c r="J477" s="484" t="s">
        <v>67</v>
      </c>
      <c r="K477" s="318" t="s">
        <v>927</v>
      </c>
      <c r="L477" s="430"/>
      <c r="M477" s="430"/>
      <c r="N477" s="18">
        <v>842.07399999999996</v>
      </c>
      <c r="O477" s="18">
        <v>0</v>
      </c>
      <c r="P477" s="18">
        <v>1673.7919999999999</v>
      </c>
      <c r="Q477" s="374"/>
      <c r="R477" s="159">
        <v>0</v>
      </c>
    </row>
    <row r="478" spans="1:18" s="107" customFormat="1" ht="15.75" customHeight="1">
      <c r="A478" s="567" t="s">
        <v>872</v>
      </c>
      <c r="B478" s="97" t="s">
        <v>643</v>
      </c>
      <c r="C478" s="91"/>
      <c r="D478" s="91"/>
      <c r="E478" s="91"/>
      <c r="F478" s="91"/>
      <c r="G478" s="91"/>
      <c r="H478" s="91"/>
      <c r="I478" s="468"/>
      <c r="J478" s="468"/>
      <c r="K478" s="468"/>
      <c r="L478" s="97" t="s">
        <v>36</v>
      </c>
      <c r="M478" s="97" t="s">
        <v>39</v>
      </c>
      <c r="N478" s="92">
        <f t="shared" ref="N478:R478" si="72">SUM(N479:N480)</f>
        <v>16000</v>
      </c>
      <c r="O478" s="92">
        <f t="shared" si="72"/>
        <v>16000</v>
      </c>
      <c r="P478" s="92">
        <f t="shared" si="72"/>
        <v>0</v>
      </c>
      <c r="Q478" s="92">
        <f t="shared" si="72"/>
        <v>0</v>
      </c>
      <c r="R478" s="92">
        <f t="shared" si="72"/>
        <v>0</v>
      </c>
    </row>
    <row r="479" spans="1:18" s="107" customFormat="1" ht="48.75" customHeight="1">
      <c r="A479" s="598"/>
      <c r="B479" s="148" t="s">
        <v>1104</v>
      </c>
      <c r="C479" s="584"/>
      <c r="D479" s="584"/>
      <c r="E479" s="584"/>
      <c r="F479" s="538" t="s">
        <v>975</v>
      </c>
      <c r="G479" s="538" t="s">
        <v>979</v>
      </c>
      <c r="H479" s="538" t="s">
        <v>989</v>
      </c>
      <c r="I479" s="538" t="s">
        <v>1111</v>
      </c>
      <c r="J479" s="538" t="s">
        <v>67</v>
      </c>
      <c r="K479" s="538" t="s">
        <v>1112</v>
      </c>
      <c r="L479" s="631"/>
      <c r="M479" s="631"/>
      <c r="N479" s="99">
        <v>4000</v>
      </c>
      <c r="O479" s="99">
        <v>4000</v>
      </c>
      <c r="P479" s="99">
        <v>0</v>
      </c>
      <c r="Q479" s="99"/>
      <c r="R479" s="99">
        <v>0</v>
      </c>
    </row>
    <row r="480" spans="1:18" s="107" customFormat="1" ht="45" customHeight="1">
      <c r="A480" s="288"/>
      <c r="B480" s="348" t="s">
        <v>564</v>
      </c>
      <c r="C480" s="584"/>
      <c r="D480" s="584"/>
      <c r="E480" s="584"/>
      <c r="F480" s="538"/>
      <c r="G480" s="538"/>
      <c r="H480" s="538"/>
      <c r="I480" s="538"/>
      <c r="J480" s="538"/>
      <c r="K480" s="538"/>
      <c r="L480" s="631"/>
      <c r="M480" s="631"/>
      <c r="N480" s="289">
        <v>12000</v>
      </c>
      <c r="O480" s="289">
        <v>12000</v>
      </c>
      <c r="P480" s="289">
        <v>0</v>
      </c>
      <c r="Q480" s="387"/>
      <c r="R480" s="335">
        <v>0</v>
      </c>
    </row>
    <row r="481" spans="1:18" s="107" customFormat="1" ht="60" hidden="1">
      <c r="A481" s="65" t="s">
        <v>644</v>
      </c>
      <c r="B481" s="466" t="s">
        <v>645</v>
      </c>
      <c r="C481" s="65"/>
      <c r="D481" s="65"/>
      <c r="E481" s="65"/>
      <c r="F481" s="65"/>
      <c r="G481" s="65"/>
      <c r="H481" s="65"/>
      <c r="I481" s="468"/>
      <c r="J481" s="468"/>
      <c r="K481" s="468"/>
      <c r="L481" s="466"/>
      <c r="M481" s="466"/>
      <c r="N481" s="93">
        <f>SUM(N482:N483)</f>
        <v>0</v>
      </c>
      <c r="O481" s="93"/>
      <c r="P481" s="93">
        <f>SUM(P482:P483)</f>
        <v>0</v>
      </c>
      <c r="Q481" s="93"/>
      <c r="R481" s="93">
        <f>SUM(R482:R483)</f>
        <v>0</v>
      </c>
    </row>
    <row r="482" spans="1:18" s="107" customFormat="1" ht="60" hidden="1">
      <c r="A482" s="94" t="s">
        <v>646</v>
      </c>
      <c r="B482" s="95" t="s">
        <v>469</v>
      </c>
      <c r="C482" s="94"/>
      <c r="D482" s="94"/>
      <c r="E482" s="94"/>
      <c r="F482" s="94"/>
      <c r="G482" s="94"/>
      <c r="H482" s="94"/>
      <c r="I482" s="468" t="s">
        <v>545</v>
      </c>
      <c r="J482" s="468" t="s">
        <v>67</v>
      </c>
      <c r="K482" s="468" t="s">
        <v>546</v>
      </c>
      <c r="L482" s="95" t="s">
        <v>31</v>
      </c>
      <c r="M482" s="95" t="s">
        <v>25</v>
      </c>
      <c r="N482" s="99">
        <v>0</v>
      </c>
      <c r="O482" s="99"/>
      <c r="P482" s="99">
        <v>0</v>
      </c>
      <c r="Q482" s="99"/>
      <c r="R482" s="99">
        <v>0</v>
      </c>
    </row>
    <row r="483" spans="1:18" s="107" customFormat="1" ht="84" hidden="1">
      <c r="A483" s="94" t="s">
        <v>784</v>
      </c>
      <c r="B483" s="95" t="s">
        <v>557</v>
      </c>
      <c r="C483" s="94"/>
      <c r="D483" s="94"/>
      <c r="E483" s="94"/>
      <c r="F483" s="94"/>
      <c r="G483" s="94"/>
      <c r="H483" s="94"/>
      <c r="I483" s="458" t="s">
        <v>761</v>
      </c>
      <c r="J483" s="458" t="s">
        <v>67</v>
      </c>
      <c r="K483" s="458" t="s">
        <v>562</v>
      </c>
      <c r="L483" s="95" t="s">
        <v>31</v>
      </c>
      <c r="M483" s="95" t="s">
        <v>25</v>
      </c>
      <c r="N483" s="99">
        <v>0</v>
      </c>
      <c r="O483" s="99"/>
      <c r="P483" s="99">
        <v>0</v>
      </c>
      <c r="Q483" s="99"/>
      <c r="R483" s="99">
        <v>0</v>
      </c>
    </row>
    <row r="484" spans="1:18" s="108" customFormat="1" ht="49.5" customHeight="1">
      <c r="A484" s="52" t="s">
        <v>647</v>
      </c>
      <c r="B484" s="477">
        <v>2313</v>
      </c>
      <c r="C484" s="52" t="s">
        <v>30</v>
      </c>
      <c r="D484" s="52" t="s">
        <v>30</v>
      </c>
      <c r="E484" s="52" t="s">
        <v>30</v>
      </c>
      <c r="F484" s="52" t="s">
        <v>30</v>
      </c>
      <c r="G484" s="52" t="s">
        <v>30</v>
      </c>
      <c r="H484" s="52" t="s">
        <v>30</v>
      </c>
      <c r="I484" s="52" t="s">
        <v>30</v>
      </c>
      <c r="J484" s="52" t="s">
        <v>30</v>
      </c>
      <c r="K484" s="52" t="s">
        <v>30</v>
      </c>
      <c r="L484" s="477" t="s">
        <v>40</v>
      </c>
      <c r="M484" s="477" t="s">
        <v>37</v>
      </c>
      <c r="N484" s="53">
        <f t="shared" ref="N484:R484" si="73">SUM(N485:N485)</f>
        <v>6277.03</v>
      </c>
      <c r="O484" s="53">
        <f t="shared" si="73"/>
        <v>6277.03</v>
      </c>
      <c r="P484" s="53">
        <f t="shared" si="73"/>
        <v>0</v>
      </c>
      <c r="Q484" s="53">
        <f t="shared" si="73"/>
        <v>0</v>
      </c>
      <c r="R484" s="53">
        <f t="shared" si="73"/>
        <v>0</v>
      </c>
    </row>
    <row r="485" spans="1:18" s="107" customFormat="1" ht="72">
      <c r="A485" s="351"/>
      <c r="B485" s="352" t="s">
        <v>491</v>
      </c>
      <c r="C485" s="351"/>
      <c r="D485" s="351"/>
      <c r="E485" s="351"/>
      <c r="F485" s="353"/>
      <c r="G485" s="353"/>
      <c r="H485" s="353"/>
      <c r="I485" s="354" t="s">
        <v>1147</v>
      </c>
      <c r="J485" s="354" t="s">
        <v>67</v>
      </c>
      <c r="K485" s="354" t="s">
        <v>1148</v>
      </c>
      <c r="L485" s="352" t="s">
        <v>40</v>
      </c>
      <c r="M485" s="352" t="s">
        <v>37</v>
      </c>
      <c r="N485" s="355">
        <v>6277.03</v>
      </c>
      <c r="O485" s="355">
        <v>6277.03</v>
      </c>
      <c r="P485" s="355">
        <v>0</v>
      </c>
      <c r="Q485" s="388"/>
      <c r="R485" s="356">
        <v>0</v>
      </c>
    </row>
    <row r="486" spans="1:18" s="108" customFormat="1" ht="19.5" customHeight="1">
      <c r="A486" s="655" t="s">
        <v>648</v>
      </c>
      <c r="B486" s="467">
        <v>2314</v>
      </c>
      <c r="C486" s="65" t="s">
        <v>30</v>
      </c>
      <c r="D486" s="65" t="s">
        <v>30</v>
      </c>
      <c r="E486" s="65" t="s">
        <v>30</v>
      </c>
      <c r="F486" s="65" t="s">
        <v>30</v>
      </c>
      <c r="G486" s="65" t="s">
        <v>30</v>
      </c>
      <c r="H486" s="65" t="s">
        <v>30</v>
      </c>
      <c r="I486" s="468"/>
      <c r="J486" s="94"/>
      <c r="K486" s="468"/>
      <c r="L486" s="466" t="s">
        <v>40</v>
      </c>
      <c r="M486" s="466" t="s">
        <v>22</v>
      </c>
      <c r="N486" s="93">
        <f t="shared" ref="N486:O486" si="74">SUM(N487:N490)</f>
        <v>481.54899999999998</v>
      </c>
      <c r="O486" s="93">
        <f t="shared" si="74"/>
        <v>281.54899999999998</v>
      </c>
      <c r="P486" s="93">
        <f>SUM(P487:P490)</f>
        <v>899.25100000000009</v>
      </c>
      <c r="Q486" s="93">
        <f t="shared" ref="Q486:R486" si="75">SUM(Q487:Q490)</f>
        <v>0</v>
      </c>
      <c r="R486" s="93">
        <f t="shared" si="75"/>
        <v>0</v>
      </c>
    </row>
    <row r="487" spans="1:18" s="108" customFormat="1" ht="72">
      <c r="A487" s="656"/>
      <c r="B487" s="68" t="s">
        <v>453</v>
      </c>
      <c r="C487" s="88" t="s">
        <v>30</v>
      </c>
      <c r="D487" s="88" t="s">
        <v>30</v>
      </c>
      <c r="E487" s="88" t="s">
        <v>30</v>
      </c>
      <c r="F487" s="88" t="s">
        <v>30</v>
      </c>
      <c r="G487" s="88" t="s">
        <v>30</v>
      </c>
      <c r="H487" s="88" t="s">
        <v>30</v>
      </c>
      <c r="I487" s="433" t="s">
        <v>1441</v>
      </c>
      <c r="J487" s="45" t="s">
        <v>67</v>
      </c>
      <c r="K487" s="433" t="s">
        <v>1442</v>
      </c>
      <c r="L487" s="68" t="s">
        <v>40</v>
      </c>
      <c r="M487" s="68" t="s">
        <v>22</v>
      </c>
      <c r="N487" s="289">
        <v>281.54899999999998</v>
      </c>
      <c r="O487" s="289">
        <v>281.54899999999998</v>
      </c>
      <c r="P487" s="289">
        <v>281.548</v>
      </c>
      <c r="Q487" s="289">
        <v>0</v>
      </c>
      <c r="R487" s="289">
        <f>SUM(R491:R491)</f>
        <v>0</v>
      </c>
    </row>
    <row r="488" spans="1:18" s="107" customFormat="1" ht="60">
      <c r="A488" s="656"/>
      <c r="B488" s="509" t="s">
        <v>1105</v>
      </c>
      <c r="C488" s="51"/>
      <c r="D488" s="51"/>
      <c r="E488" s="51"/>
      <c r="F488" s="51"/>
      <c r="G488" s="51"/>
      <c r="H488" s="51"/>
      <c r="I488" s="484" t="s">
        <v>1118</v>
      </c>
      <c r="J488" s="484" t="s">
        <v>67</v>
      </c>
      <c r="K488" s="485" t="s">
        <v>1119</v>
      </c>
      <c r="L488" s="68" t="s">
        <v>40</v>
      </c>
      <c r="M488" s="68" t="s">
        <v>22</v>
      </c>
      <c r="N488" s="84">
        <v>200</v>
      </c>
      <c r="O488" s="406">
        <v>0</v>
      </c>
      <c r="P488" s="50">
        <v>0</v>
      </c>
      <c r="Q488" s="50">
        <v>0</v>
      </c>
      <c r="R488" s="50">
        <v>0</v>
      </c>
    </row>
    <row r="489" spans="1:18" s="107" customFormat="1" ht="60">
      <c r="A489" s="656"/>
      <c r="B489" s="481" t="s">
        <v>1382</v>
      </c>
      <c r="C489" s="96"/>
      <c r="D489" s="96"/>
      <c r="E489" s="96"/>
      <c r="F489" s="96"/>
      <c r="G489" s="96"/>
      <c r="H489" s="96"/>
      <c r="I489" s="498" t="s">
        <v>1403</v>
      </c>
      <c r="J489" s="498" t="s">
        <v>67</v>
      </c>
      <c r="K489" s="503" t="s">
        <v>1397</v>
      </c>
      <c r="L489" s="509" t="s">
        <v>40</v>
      </c>
      <c r="M489" s="509" t="s">
        <v>22</v>
      </c>
      <c r="N489" s="83">
        <v>0</v>
      </c>
      <c r="O489" s="83">
        <v>0</v>
      </c>
      <c r="P489" s="231">
        <v>306.60300000000001</v>
      </c>
      <c r="Q489" s="231">
        <v>0</v>
      </c>
      <c r="R489" s="231">
        <v>0</v>
      </c>
    </row>
    <row r="490" spans="1:18" s="107" customFormat="1" ht="60">
      <c r="A490" s="657"/>
      <c r="B490" s="95" t="s">
        <v>1411</v>
      </c>
      <c r="C490" s="94"/>
      <c r="D490" s="94"/>
      <c r="E490" s="94"/>
      <c r="F490" s="94"/>
      <c r="G490" s="94"/>
      <c r="H490" s="94"/>
      <c r="I490" s="491" t="s">
        <v>1435</v>
      </c>
      <c r="J490" s="491" t="s">
        <v>67</v>
      </c>
      <c r="K490" s="469" t="s">
        <v>1432</v>
      </c>
      <c r="L490" s="95" t="s">
        <v>40</v>
      </c>
      <c r="M490" s="95" t="s">
        <v>22</v>
      </c>
      <c r="N490" s="104">
        <v>0</v>
      </c>
      <c r="O490" s="104">
        <v>0</v>
      </c>
      <c r="P490" s="99">
        <v>311.10000000000002</v>
      </c>
      <c r="Q490" s="99">
        <v>0</v>
      </c>
      <c r="R490" s="99">
        <v>0</v>
      </c>
    </row>
    <row r="491" spans="1:18" s="108" customFormat="1" ht="48" customHeight="1">
      <c r="A491" s="91" t="s">
        <v>649</v>
      </c>
      <c r="B491" s="495">
        <v>2315</v>
      </c>
      <c r="C491" s="73"/>
      <c r="D491" s="73"/>
      <c r="E491" s="73"/>
      <c r="F491" s="73"/>
      <c r="G491" s="73"/>
      <c r="H491" s="73"/>
      <c r="I491" s="456"/>
      <c r="J491" s="456"/>
      <c r="K491" s="456"/>
      <c r="L491" s="294"/>
      <c r="M491" s="294"/>
      <c r="N491" s="72">
        <f>SUM(N492:N497)</f>
        <v>60891.74700000001</v>
      </c>
      <c r="O491" s="72">
        <f>SUM(O492:O497)</f>
        <v>60672.977000000006</v>
      </c>
      <c r="P491" s="72">
        <f t="shared" ref="P491:R491" si="76">SUM(P492:P497)</f>
        <v>106317.84</v>
      </c>
      <c r="Q491" s="72">
        <f t="shared" si="76"/>
        <v>0</v>
      </c>
      <c r="R491" s="72">
        <f t="shared" si="76"/>
        <v>0</v>
      </c>
    </row>
    <row r="492" spans="1:18" s="107" customFormat="1" ht="96" customHeight="1">
      <c r="A492" s="94" t="s">
        <v>993</v>
      </c>
      <c r="B492" s="95" t="s">
        <v>992</v>
      </c>
      <c r="C492" s="94"/>
      <c r="D492" s="94"/>
      <c r="E492" s="94"/>
      <c r="F492" s="322" t="s">
        <v>994</v>
      </c>
      <c r="G492" s="468" t="s">
        <v>995</v>
      </c>
      <c r="H492" s="468" t="s">
        <v>983</v>
      </c>
      <c r="I492" s="455" t="s">
        <v>1045</v>
      </c>
      <c r="J492" s="455" t="s">
        <v>67</v>
      </c>
      <c r="K492" s="455" t="s">
        <v>1046</v>
      </c>
      <c r="L492" s="95" t="s">
        <v>36</v>
      </c>
      <c r="M492" s="95" t="s">
        <v>22</v>
      </c>
      <c r="N492" s="99">
        <v>3500</v>
      </c>
      <c r="O492" s="99">
        <v>3478</v>
      </c>
      <c r="P492" s="99">
        <v>0</v>
      </c>
      <c r="Q492" s="99"/>
      <c r="R492" s="99">
        <v>0</v>
      </c>
    </row>
    <row r="493" spans="1:18" s="107" customFormat="1" ht="33.75" customHeight="1">
      <c r="A493" s="563" t="s">
        <v>1263</v>
      </c>
      <c r="B493" s="95" t="s">
        <v>819</v>
      </c>
      <c r="C493" s="569"/>
      <c r="D493" s="569"/>
      <c r="E493" s="569"/>
      <c r="F493" s="536" t="s">
        <v>990</v>
      </c>
      <c r="G493" s="536" t="s">
        <v>991</v>
      </c>
      <c r="H493" s="536" t="s">
        <v>983</v>
      </c>
      <c r="I493" s="532" t="s">
        <v>1404</v>
      </c>
      <c r="J493" s="532" t="s">
        <v>67</v>
      </c>
      <c r="K493" s="532" t="s">
        <v>1397</v>
      </c>
      <c r="L493" s="95" t="s">
        <v>36</v>
      </c>
      <c r="M493" s="95" t="s">
        <v>34</v>
      </c>
      <c r="N493" s="292">
        <v>13005.696</v>
      </c>
      <c r="O493" s="292">
        <v>13005.696</v>
      </c>
      <c r="P493" s="292">
        <v>14204.1</v>
      </c>
      <c r="Q493" s="292">
        <v>0</v>
      </c>
      <c r="R493" s="292">
        <v>0</v>
      </c>
    </row>
    <row r="494" spans="1:18" s="107" customFormat="1" ht="33.75" customHeight="1">
      <c r="A494" s="566"/>
      <c r="B494" s="95" t="s">
        <v>820</v>
      </c>
      <c r="C494" s="570"/>
      <c r="D494" s="570"/>
      <c r="E494" s="570"/>
      <c r="F494" s="565"/>
      <c r="G494" s="565"/>
      <c r="H494" s="565"/>
      <c r="I494" s="544"/>
      <c r="J494" s="533"/>
      <c r="K494" s="533"/>
      <c r="L494" s="95" t="s">
        <v>36</v>
      </c>
      <c r="M494" s="95" t="s">
        <v>34</v>
      </c>
      <c r="N494" s="292">
        <v>32765.9</v>
      </c>
      <c r="O494" s="292">
        <v>32765.9</v>
      </c>
      <c r="P494" s="292">
        <v>70828.2</v>
      </c>
      <c r="Q494" s="292">
        <v>0</v>
      </c>
      <c r="R494" s="292">
        <v>0</v>
      </c>
    </row>
    <row r="495" spans="1:18" s="107" customFormat="1" ht="33.75" customHeight="1">
      <c r="A495" s="566"/>
      <c r="B495" s="95" t="s">
        <v>821</v>
      </c>
      <c r="C495" s="570"/>
      <c r="D495" s="570"/>
      <c r="E495" s="570"/>
      <c r="F495" s="565"/>
      <c r="G495" s="565"/>
      <c r="H495" s="565"/>
      <c r="I495" s="544"/>
      <c r="J495" s="533"/>
      <c r="K495" s="533"/>
      <c r="L495" s="95" t="s">
        <v>36</v>
      </c>
      <c r="M495" s="95" t="s">
        <v>34</v>
      </c>
      <c r="N495" s="292">
        <v>6711.0839999999998</v>
      </c>
      <c r="O495" s="292">
        <v>6711.0839999999998</v>
      </c>
      <c r="P495" s="292">
        <v>14507</v>
      </c>
      <c r="Q495" s="292">
        <v>0</v>
      </c>
      <c r="R495" s="292">
        <v>0</v>
      </c>
    </row>
    <row r="496" spans="1:18" s="107" customFormat="1" ht="33.75" customHeight="1">
      <c r="A496" s="566"/>
      <c r="B496" s="95" t="s">
        <v>467</v>
      </c>
      <c r="C496" s="570"/>
      <c r="D496" s="570"/>
      <c r="E496" s="570"/>
      <c r="F496" s="565"/>
      <c r="G496" s="565"/>
      <c r="H496" s="565"/>
      <c r="I496" s="544"/>
      <c r="J496" s="493"/>
      <c r="K496" s="493"/>
      <c r="L496" s="95" t="s">
        <v>36</v>
      </c>
      <c r="M496" s="95" t="s">
        <v>34</v>
      </c>
      <c r="N496" s="99">
        <v>4909.067</v>
      </c>
      <c r="O496" s="99">
        <v>4712.2969999999996</v>
      </c>
      <c r="P496" s="99">
        <v>6778.54</v>
      </c>
      <c r="Q496" s="99">
        <v>0</v>
      </c>
      <c r="R496" s="99">
        <v>0</v>
      </c>
    </row>
    <row r="497" spans="1:18" s="107" customFormat="1" ht="24.75" hidden="1" customHeight="1">
      <c r="A497" s="452"/>
      <c r="B497" s="95" t="s">
        <v>896</v>
      </c>
      <c r="C497" s="362"/>
      <c r="D497" s="362"/>
      <c r="E497" s="362"/>
      <c r="F497" s="454"/>
      <c r="G497" s="454"/>
      <c r="H497" s="454"/>
      <c r="I497" s="316"/>
      <c r="J497" s="316"/>
      <c r="K497" s="316"/>
      <c r="L497" s="95" t="s">
        <v>36</v>
      </c>
      <c r="M497" s="95" t="s">
        <v>34</v>
      </c>
      <c r="N497" s="99">
        <v>0</v>
      </c>
      <c r="O497" s="99"/>
      <c r="P497" s="99">
        <v>0</v>
      </c>
      <c r="Q497" s="99"/>
      <c r="R497" s="99">
        <v>0</v>
      </c>
    </row>
    <row r="498" spans="1:18" s="108" customFormat="1" ht="15.75" customHeight="1">
      <c r="A498" s="567" t="s">
        <v>827</v>
      </c>
      <c r="B498" s="466" t="s">
        <v>826</v>
      </c>
      <c r="C498" s="65"/>
      <c r="D498" s="65"/>
      <c r="E498" s="65"/>
      <c r="F498" s="65"/>
      <c r="G498" s="65"/>
      <c r="H498" s="65"/>
      <c r="I498" s="22"/>
      <c r="J498" s="22"/>
      <c r="K498" s="22"/>
      <c r="L498" s="466" t="s">
        <v>39</v>
      </c>
      <c r="M498" s="466" t="s">
        <v>31</v>
      </c>
      <c r="N498" s="93">
        <f t="shared" ref="N498:R498" si="77">SUM(N499:N500)</f>
        <v>12450</v>
      </c>
      <c r="O498" s="93">
        <f t="shared" si="77"/>
        <v>12450</v>
      </c>
      <c r="P498" s="93">
        <f t="shared" si="77"/>
        <v>0</v>
      </c>
      <c r="Q498" s="93">
        <f t="shared" si="77"/>
        <v>0</v>
      </c>
      <c r="R498" s="93">
        <f t="shared" si="77"/>
        <v>0</v>
      </c>
    </row>
    <row r="499" spans="1:18" s="108" customFormat="1" ht="72">
      <c r="A499" s="533"/>
      <c r="B499" s="95" t="s">
        <v>1001</v>
      </c>
      <c r="C499" s="65"/>
      <c r="D499" s="65"/>
      <c r="E499" s="65"/>
      <c r="F499" s="65"/>
      <c r="G499" s="65"/>
      <c r="H499" s="65"/>
      <c r="I499" s="22" t="s">
        <v>1002</v>
      </c>
      <c r="J499" s="22" t="s">
        <v>67</v>
      </c>
      <c r="K499" s="22" t="s">
        <v>1003</v>
      </c>
      <c r="L499" s="95" t="s">
        <v>39</v>
      </c>
      <c r="M499" s="95" t="s">
        <v>31</v>
      </c>
      <c r="N499" s="99">
        <v>450</v>
      </c>
      <c r="O499" s="99">
        <v>450</v>
      </c>
      <c r="P499" s="99">
        <v>0</v>
      </c>
      <c r="Q499" s="99"/>
      <c r="R499" s="99">
        <v>0</v>
      </c>
    </row>
    <row r="500" spans="1:18" s="108" customFormat="1" ht="48">
      <c r="A500" s="568"/>
      <c r="B500" s="95" t="s">
        <v>484</v>
      </c>
      <c r="C500" s="65"/>
      <c r="D500" s="65"/>
      <c r="E500" s="65"/>
      <c r="F500" s="65"/>
      <c r="G500" s="65"/>
      <c r="H500" s="65"/>
      <c r="I500" s="22" t="s">
        <v>1048</v>
      </c>
      <c r="J500" s="22" t="s">
        <v>67</v>
      </c>
      <c r="K500" s="22" t="s">
        <v>918</v>
      </c>
      <c r="L500" s="95" t="s">
        <v>39</v>
      </c>
      <c r="M500" s="95" t="s">
        <v>31</v>
      </c>
      <c r="N500" s="99">
        <v>12000</v>
      </c>
      <c r="O500" s="99">
        <v>12000</v>
      </c>
      <c r="P500" s="99">
        <v>0</v>
      </c>
      <c r="Q500" s="99"/>
      <c r="R500" s="99">
        <v>0</v>
      </c>
    </row>
    <row r="501" spans="1:18" s="108" customFormat="1" ht="108.75" customHeight="1">
      <c r="A501" s="293" t="s">
        <v>843</v>
      </c>
      <c r="B501" s="466" t="s">
        <v>1106</v>
      </c>
      <c r="C501" s="65"/>
      <c r="D501" s="65"/>
      <c r="E501" s="65"/>
      <c r="F501" s="65"/>
      <c r="G501" s="65"/>
      <c r="H501" s="65"/>
      <c r="I501" s="22" t="s">
        <v>1110</v>
      </c>
      <c r="J501" s="22" t="s">
        <v>67</v>
      </c>
      <c r="K501" s="22" t="s">
        <v>1151</v>
      </c>
      <c r="L501" s="466" t="s">
        <v>39</v>
      </c>
      <c r="M501" s="466" t="s">
        <v>31</v>
      </c>
      <c r="N501" s="93">
        <v>33</v>
      </c>
      <c r="O501" s="93">
        <v>33</v>
      </c>
      <c r="P501" s="93">
        <v>0</v>
      </c>
      <c r="Q501" s="93">
        <v>0</v>
      </c>
      <c r="R501" s="93">
        <v>0</v>
      </c>
    </row>
    <row r="502" spans="1:18" s="108" customFormat="1" ht="49.5" customHeight="1">
      <c r="A502" s="65" t="s">
        <v>650</v>
      </c>
      <c r="B502" s="467">
        <v>2320</v>
      </c>
      <c r="C502" s="65"/>
      <c r="D502" s="65"/>
      <c r="E502" s="65"/>
      <c r="F502" s="65"/>
      <c r="G502" s="65"/>
      <c r="H502" s="65"/>
      <c r="I502" s="22"/>
      <c r="J502" s="22"/>
      <c r="K502" s="22"/>
      <c r="L502" s="466"/>
      <c r="M502" s="466"/>
      <c r="N502" s="93">
        <f t="shared" ref="N502:R502" si="78">SUM(N503:N503)</f>
        <v>7210.6</v>
      </c>
      <c r="O502" s="93">
        <f t="shared" si="78"/>
        <v>7210.6</v>
      </c>
      <c r="P502" s="93">
        <f t="shared" si="78"/>
        <v>7337.7</v>
      </c>
      <c r="Q502" s="93">
        <f t="shared" si="78"/>
        <v>7337.7</v>
      </c>
      <c r="R502" s="93">
        <f t="shared" si="78"/>
        <v>7337.7</v>
      </c>
    </row>
    <row r="503" spans="1:18" s="107" customFormat="1" ht="107.25" customHeight="1">
      <c r="A503" s="45" t="s">
        <v>785</v>
      </c>
      <c r="B503" s="68" t="s">
        <v>442</v>
      </c>
      <c r="C503" s="433" t="s">
        <v>514</v>
      </c>
      <c r="D503" s="433" t="s">
        <v>515</v>
      </c>
      <c r="E503" s="433" t="s">
        <v>56</v>
      </c>
      <c r="F503" s="468" t="s">
        <v>980</v>
      </c>
      <c r="G503" s="19" t="s">
        <v>981</v>
      </c>
      <c r="H503" s="19" t="s">
        <v>129</v>
      </c>
      <c r="I503" s="488" t="s">
        <v>1491</v>
      </c>
      <c r="J503" s="488" t="s">
        <v>67</v>
      </c>
      <c r="K503" s="317" t="s">
        <v>1317</v>
      </c>
      <c r="L503" s="433" t="s">
        <v>23</v>
      </c>
      <c r="M503" s="433" t="s">
        <v>31</v>
      </c>
      <c r="N503" s="199">
        <v>7210.6</v>
      </c>
      <c r="O503" s="199">
        <v>7210.6</v>
      </c>
      <c r="P503" s="199">
        <v>7337.7</v>
      </c>
      <c r="Q503" s="199">
        <v>7337.7</v>
      </c>
      <c r="R503" s="199">
        <v>7337.7</v>
      </c>
    </row>
    <row r="504" spans="1:18" s="108" customFormat="1" ht="60">
      <c r="A504" s="88" t="s">
        <v>651</v>
      </c>
      <c r="B504" s="476" t="s">
        <v>652</v>
      </c>
      <c r="C504" s="88"/>
      <c r="D504" s="88"/>
      <c r="E504" s="88"/>
      <c r="F504" s="88"/>
      <c r="G504" s="88"/>
      <c r="H504" s="88"/>
      <c r="I504" s="88"/>
      <c r="J504" s="88"/>
      <c r="K504" s="88"/>
      <c r="L504" s="451"/>
      <c r="M504" s="451"/>
      <c r="N504" s="89">
        <f>SUM(N506:N507)</f>
        <v>1133.595</v>
      </c>
      <c r="O504" s="89">
        <f>SUM(O506:O507)</f>
        <v>1133.5900000000001</v>
      </c>
      <c r="P504" s="89">
        <f t="shared" ref="P504:R504" si="79">SUM(P506:P507)</f>
        <v>436.13900000000001</v>
      </c>
      <c r="Q504" s="89">
        <f t="shared" si="79"/>
        <v>0</v>
      </c>
      <c r="R504" s="89">
        <f t="shared" si="79"/>
        <v>0</v>
      </c>
    </row>
    <row r="505" spans="1:18" s="108" customFormat="1" ht="12">
      <c r="A505" s="36" t="s">
        <v>96</v>
      </c>
      <c r="B505" s="165"/>
      <c r="C505" s="36"/>
      <c r="D505" s="36"/>
      <c r="E505" s="36"/>
      <c r="F505" s="36"/>
      <c r="G505" s="36"/>
      <c r="H505" s="36"/>
      <c r="I505" s="36"/>
      <c r="J505" s="36"/>
      <c r="K505" s="36"/>
      <c r="L505" s="433"/>
      <c r="M505" s="433"/>
      <c r="N505" s="36"/>
      <c r="O505" s="36"/>
      <c r="P505" s="36"/>
      <c r="Q505" s="36"/>
      <c r="R505" s="36"/>
    </row>
    <row r="506" spans="1:18" s="109" customFormat="1" ht="12" hidden="1">
      <c r="A506" s="38"/>
      <c r="B506" s="166"/>
      <c r="C506" s="38"/>
      <c r="D506" s="38"/>
      <c r="E506" s="38"/>
      <c r="F506" s="38"/>
      <c r="G506" s="38"/>
      <c r="H506" s="38"/>
      <c r="I506" s="38"/>
      <c r="J506" s="38"/>
      <c r="K506" s="38"/>
      <c r="L506" s="103" t="s">
        <v>23</v>
      </c>
      <c r="M506" s="103" t="s">
        <v>31</v>
      </c>
      <c r="N506" s="40"/>
      <c r="O506" s="40"/>
      <c r="P506" s="40"/>
      <c r="Q506" s="40"/>
      <c r="R506" s="40"/>
    </row>
    <row r="507" spans="1:18" s="109" customFormat="1" ht="12">
      <c r="A507" s="38"/>
      <c r="B507" s="166"/>
      <c r="C507" s="38"/>
      <c r="D507" s="38"/>
      <c r="E507" s="38"/>
      <c r="F507" s="38"/>
      <c r="G507" s="38"/>
      <c r="H507" s="38"/>
      <c r="I507" s="38"/>
      <c r="J507" s="38"/>
      <c r="K507" s="38"/>
      <c r="L507" s="39" t="s">
        <v>23</v>
      </c>
      <c r="M507" s="39" t="s">
        <v>35</v>
      </c>
      <c r="N507" s="40">
        <f>SUM(N508:N512)</f>
        <v>1133.595</v>
      </c>
      <c r="O507" s="40">
        <f>SUM(O508:O512)</f>
        <v>1133.5900000000001</v>
      </c>
      <c r="P507" s="40">
        <f>SUM(P508:P513)</f>
        <v>436.13900000000001</v>
      </c>
      <c r="Q507" s="40">
        <f t="shared" ref="Q507:R507" si="80">SUM(Q508:Q513)</f>
        <v>0</v>
      </c>
      <c r="R507" s="40">
        <f t="shared" si="80"/>
        <v>0</v>
      </c>
    </row>
    <row r="508" spans="1:18" s="107" customFormat="1" ht="37.5" customHeight="1">
      <c r="A508" s="372" t="s">
        <v>1264</v>
      </c>
      <c r="B508" s="95" t="s">
        <v>871</v>
      </c>
      <c r="C508" s="94"/>
      <c r="D508" s="94"/>
      <c r="E508" s="94"/>
      <c r="F508" s="468"/>
      <c r="G508" s="468"/>
      <c r="H508" s="468"/>
      <c r="I508" s="458" t="s">
        <v>919</v>
      </c>
      <c r="J508" s="458" t="s">
        <v>67</v>
      </c>
      <c r="K508" s="458" t="s">
        <v>920</v>
      </c>
      <c r="L508" s="95" t="s">
        <v>23</v>
      </c>
      <c r="M508" s="95" t="s">
        <v>35</v>
      </c>
      <c r="N508" s="104">
        <v>98.2</v>
      </c>
      <c r="O508" s="104">
        <v>98.194999999999993</v>
      </c>
      <c r="P508" s="104">
        <v>0</v>
      </c>
      <c r="Q508" s="104">
        <v>0</v>
      </c>
      <c r="R508" s="104">
        <v>0</v>
      </c>
    </row>
    <row r="509" spans="1:18" s="107" customFormat="1" ht="72">
      <c r="A509" s="94" t="s">
        <v>1265</v>
      </c>
      <c r="B509" s="95" t="s">
        <v>478</v>
      </c>
      <c r="C509" s="94"/>
      <c r="D509" s="94"/>
      <c r="E509" s="94"/>
      <c r="F509" s="94"/>
      <c r="G509" s="94"/>
      <c r="H509" s="94"/>
      <c r="I509" s="468" t="s">
        <v>1372</v>
      </c>
      <c r="J509" s="94" t="s">
        <v>67</v>
      </c>
      <c r="K509" s="468" t="s">
        <v>1055</v>
      </c>
      <c r="L509" s="95" t="s">
        <v>23</v>
      </c>
      <c r="M509" s="95" t="s">
        <v>35</v>
      </c>
      <c r="N509" s="99">
        <v>78</v>
      </c>
      <c r="O509" s="99">
        <v>78</v>
      </c>
      <c r="P509" s="99">
        <v>0</v>
      </c>
      <c r="Q509" s="99">
        <v>0</v>
      </c>
      <c r="R509" s="99">
        <v>0</v>
      </c>
    </row>
    <row r="510" spans="1:18" s="107" customFormat="1" ht="60.75" customHeight="1">
      <c r="A510" s="94" t="s">
        <v>1266</v>
      </c>
      <c r="B510" s="95" t="s">
        <v>459</v>
      </c>
      <c r="C510" s="94"/>
      <c r="D510" s="94"/>
      <c r="E510" s="94"/>
      <c r="F510" s="94"/>
      <c r="G510" s="94"/>
      <c r="H510" s="94"/>
      <c r="I510" s="468" t="s">
        <v>1047</v>
      </c>
      <c r="J510" s="94" t="s">
        <v>67</v>
      </c>
      <c r="K510" s="468" t="s">
        <v>1046</v>
      </c>
      <c r="L510" s="95" t="s">
        <v>23</v>
      </c>
      <c r="M510" s="95" t="s">
        <v>35</v>
      </c>
      <c r="N510" s="99">
        <v>100</v>
      </c>
      <c r="O510" s="99">
        <v>100</v>
      </c>
      <c r="P510" s="99">
        <v>0</v>
      </c>
      <c r="Q510" s="99">
        <v>0</v>
      </c>
      <c r="R510" s="99">
        <v>0</v>
      </c>
    </row>
    <row r="511" spans="1:18" s="107" customFormat="1" ht="60" customHeight="1">
      <c r="A511" s="94" t="s">
        <v>1475</v>
      </c>
      <c r="B511" s="95" t="s">
        <v>464</v>
      </c>
      <c r="C511" s="94"/>
      <c r="D511" s="94"/>
      <c r="E511" s="94"/>
      <c r="F511" s="94"/>
      <c r="G511" s="94"/>
      <c r="H511" s="94"/>
      <c r="I511" s="468" t="s">
        <v>1489</v>
      </c>
      <c r="J511" s="94" t="s">
        <v>67</v>
      </c>
      <c r="K511" s="468" t="s">
        <v>1490</v>
      </c>
      <c r="L511" s="95" t="s">
        <v>23</v>
      </c>
      <c r="M511" s="95" t="s">
        <v>35</v>
      </c>
      <c r="N511" s="99">
        <v>103.306</v>
      </c>
      <c r="O511" s="99">
        <v>103.306</v>
      </c>
      <c r="P511" s="99">
        <v>310</v>
      </c>
      <c r="Q511" s="99">
        <v>0</v>
      </c>
      <c r="R511" s="99">
        <v>0</v>
      </c>
    </row>
    <row r="512" spans="1:18" s="107" customFormat="1" ht="59.25" customHeight="1">
      <c r="A512" s="94" t="s">
        <v>1267</v>
      </c>
      <c r="B512" s="95" t="s">
        <v>1155</v>
      </c>
      <c r="C512" s="94"/>
      <c r="D512" s="94"/>
      <c r="E512" s="94"/>
      <c r="F512" s="94"/>
      <c r="G512" s="94"/>
      <c r="H512" s="94"/>
      <c r="I512" s="468" t="s">
        <v>1159</v>
      </c>
      <c r="J512" s="94" t="s">
        <v>67</v>
      </c>
      <c r="K512" s="468" t="s">
        <v>1160</v>
      </c>
      <c r="L512" s="95" t="s">
        <v>23</v>
      </c>
      <c r="M512" s="95" t="s">
        <v>35</v>
      </c>
      <c r="N512" s="99">
        <v>754.08900000000006</v>
      </c>
      <c r="O512" s="99">
        <v>754.08900000000006</v>
      </c>
      <c r="P512" s="99">
        <v>0</v>
      </c>
      <c r="Q512" s="99">
        <v>0</v>
      </c>
      <c r="R512" s="99">
        <v>0</v>
      </c>
    </row>
    <row r="513" spans="1:18" s="107" customFormat="1" ht="60">
      <c r="A513" s="94" t="s">
        <v>1307</v>
      </c>
      <c r="B513" s="95" t="s">
        <v>452</v>
      </c>
      <c r="C513" s="94"/>
      <c r="D513" s="94"/>
      <c r="E513" s="94"/>
      <c r="F513" s="94"/>
      <c r="G513" s="94"/>
      <c r="H513" s="94"/>
      <c r="I513" s="468" t="s">
        <v>1318</v>
      </c>
      <c r="J513" s="94" t="s">
        <v>67</v>
      </c>
      <c r="K513" s="468" t="s">
        <v>1319</v>
      </c>
      <c r="L513" s="95" t="s">
        <v>23</v>
      </c>
      <c r="M513" s="95" t="s">
        <v>35</v>
      </c>
      <c r="N513" s="99">
        <v>0</v>
      </c>
      <c r="O513" s="99">
        <v>0</v>
      </c>
      <c r="P513" s="99">
        <v>126.139</v>
      </c>
      <c r="Q513" s="99">
        <v>0</v>
      </c>
      <c r="R513" s="99">
        <v>0</v>
      </c>
    </row>
    <row r="514" spans="1:18" s="108" customFormat="1" ht="119.25" hidden="1" customHeight="1">
      <c r="A514" s="73" t="s">
        <v>653</v>
      </c>
      <c r="B514" s="57" t="s">
        <v>654</v>
      </c>
      <c r="C514" s="52" t="s">
        <v>30</v>
      </c>
      <c r="D514" s="52" t="s">
        <v>30</v>
      </c>
      <c r="E514" s="52" t="s">
        <v>30</v>
      </c>
      <c r="F514" s="52" t="s">
        <v>30</v>
      </c>
      <c r="G514" s="52" t="s">
        <v>30</v>
      </c>
      <c r="H514" s="52" t="s">
        <v>30</v>
      </c>
      <c r="I514" s="430" t="s">
        <v>501</v>
      </c>
      <c r="J514" s="42" t="s">
        <v>67</v>
      </c>
      <c r="K514" s="430" t="s">
        <v>463</v>
      </c>
      <c r="L514" s="477" t="s">
        <v>34</v>
      </c>
      <c r="M514" s="490" t="s">
        <v>34</v>
      </c>
      <c r="N514" s="53"/>
      <c r="O514" s="53"/>
      <c r="P514" s="53"/>
      <c r="Q514" s="379"/>
      <c r="R514" s="161"/>
    </row>
    <row r="515" spans="1:18" s="108" customFormat="1" ht="49.5" customHeight="1">
      <c r="A515" s="88" t="s">
        <v>851</v>
      </c>
      <c r="B515" s="451">
        <v>2324</v>
      </c>
      <c r="C515" s="88"/>
      <c r="D515" s="88"/>
      <c r="E515" s="88"/>
      <c r="F515" s="88"/>
      <c r="G515" s="88"/>
      <c r="H515" s="88"/>
      <c r="I515" s="433"/>
      <c r="J515" s="45"/>
      <c r="K515" s="433"/>
      <c r="L515" s="451"/>
      <c r="M515" s="476"/>
      <c r="N515" s="89">
        <f>SUM(N516:N520)</f>
        <v>2955</v>
      </c>
      <c r="O515" s="89">
        <f>SUM(O516:O520)</f>
        <v>2955</v>
      </c>
      <c r="P515" s="89">
        <f>SUM(P516:P522)</f>
        <v>6145.5</v>
      </c>
      <c r="Q515" s="89">
        <f t="shared" ref="Q515:R515" si="81">SUM(Q516:Q521)</f>
        <v>0</v>
      </c>
      <c r="R515" s="89">
        <f t="shared" si="81"/>
        <v>0</v>
      </c>
    </row>
    <row r="516" spans="1:18" s="107" customFormat="1" ht="60.75" customHeight="1">
      <c r="A516" s="563" t="s">
        <v>1268</v>
      </c>
      <c r="B516" s="602" t="s">
        <v>453</v>
      </c>
      <c r="C516" s="96"/>
      <c r="D516" s="96"/>
      <c r="E516" s="96"/>
      <c r="F516" s="96"/>
      <c r="G516" s="96"/>
      <c r="H516" s="96"/>
      <c r="I516" s="498" t="s">
        <v>923</v>
      </c>
      <c r="J516" s="498" t="s">
        <v>67</v>
      </c>
      <c r="K516" s="503" t="s">
        <v>922</v>
      </c>
      <c r="L516" s="481" t="s">
        <v>34</v>
      </c>
      <c r="M516" s="481" t="s">
        <v>40</v>
      </c>
      <c r="N516" s="83">
        <v>480</v>
      </c>
      <c r="O516" s="83">
        <v>480</v>
      </c>
      <c r="P516" s="231">
        <v>0</v>
      </c>
      <c r="Q516" s="231">
        <v>0</v>
      </c>
      <c r="R516" s="231">
        <v>0</v>
      </c>
    </row>
    <row r="517" spans="1:18" s="107" customFormat="1" ht="60.75" customHeight="1">
      <c r="A517" s="566"/>
      <c r="B517" s="603"/>
      <c r="C517" s="51"/>
      <c r="D517" s="51"/>
      <c r="E517" s="51"/>
      <c r="F517" s="51"/>
      <c r="G517" s="51"/>
      <c r="H517" s="51"/>
      <c r="I517" s="484" t="s">
        <v>1117</v>
      </c>
      <c r="J517" s="484" t="s">
        <v>67</v>
      </c>
      <c r="K517" s="485" t="s">
        <v>1112</v>
      </c>
      <c r="L517" s="482"/>
      <c r="M517" s="482"/>
      <c r="N517" s="84"/>
      <c r="O517" s="84"/>
      <c r="P517" s="44"/>
      <c r="Q517" s="44"/>
      <c r="R517" s="44"/>
    </row>
    <row r="518" spans="1:18" s="107" customFormat="1" ht="60.75" customHeight="1">
      <c r="A518" s="452"/>
      <c r="B518" s="511"/>
      <c r="C518" s="100"/>
      <c r="D518" s="100"/>
      <c r="E518" s="100"/>
      <c r="F518" s="100"/>
      <c r="G518" s="100"/>
      <c r="H518" s="100"/>
      <c r="I518" s="502" t="s">
        <v>1178</v>
      </c>
      <c r="J518" s="502" t="s">
        <v>67</v>
      </c>
      <c r="K518" s="504" t="s">
        <v>1176</v>
      </c>
      <c r="L518" s="511"/>
      <c r="M518" s="511"/>
      <c r="N518" s="101"/>
      <c r="O518" s="101"/>
      <c r="P518" s="66"/>
      <c r="Q518" s="66"/>
      <c r="R518" s="66"/>
    </row>
    <row r="519" spans="1:18" s="107" customFormat="1" ht="80.25" customHeight="1">
      <c r="A519" s="94" t="s">
        <v>1269</v>
      </c>
      <c r="B519" s="95" t="s">
        <v>903</v>
      </c>
      <c r="C519" s="536"/>
      <c r="D519" s="536"/>
      <c r="E519" s="536"/>
      <c r="F519" s="536" t="s">
        <v>982</v>
      </c>
      <c r="G519" s="536" t="s">
        <v>984</v>
      </c>
      <c r="H519" s="536" t="s">
        <v>983</v>
      </c>
      <c r="I519" s="539" t="s">
        <v>1090</v>
      </c>
      <c r="J519" s="539" t="s">
        <v>67</v>
      </c>
      <c r="K519" s="635" t="s">
        <v>1087</v>
      </c>
      <c r="L519" s="95" t="s">
        <v>34</v>
      </c>
      <c r="M519" s="95" t="s">
        <v>40</v>
      </c>
      <c r="N519" s="104">
        <v>1237.5</v>
      </c>
      <c r="O519" s="104">
        <v>1237.5</v>
      </c>
      <c r="P519" s="99">
        <v>0</v>
      </c>
      <c r="Q519" s="99">
        <v>0</v>
      </c>
      <c r="R519" s="99">
        <v>0</v>
      </c>
    </row>
    <row r="520" spans="1:18" s="107" customFormat="1" ht="36">
      <c r="A520" s="94" t="s">
        <v>1270</v>
      </c>
      <c r="B520" s="95" t="s">
        <v>846</v>
      </c>
      <c r="C520" s="537"/>
      <c r="D520" s="537"/>
      <c r="E520" s="537"/>
      <c r="F520" s="537"/>
      <c r="G520" s="537"/>
      <c r="H520" s="537"/>
      <c r="I520" s="541"/>
      <c r="J520" s="541"/>
      <c r="K520" s="636"/>
      <c r="L520" s="95" t="s">
        <v>34</v>
      </c>
      <c r="M520" s="95" t="s">
        <v>40</v>
      </c>
      <c r="N520" s="104">
        <v>1237.5</v>
      </c>
      <c r="O520" s="104">
        <v>1237.5</v>
      </c>
      <c r="P520" s="99">
        <v>0</v>
      </c>
      <c r="Q520" s="99">
        <v>0</v>
      </c>
      <c r="R520" s="99">
        <v>0</v>
      </c>
    </row>
    <row r="521" spans="1:18" s="107" customFormat="1" ht="60">
      <c r="A521" s="94" t="s">
        <v>1310</v>
      </c>
      <c r="B521" s="95" t="s">
        <v>894</v>
      </c>
      <c r="C521" s="468"/>
      <c r="D521" s="468"/>
      <c r="E521" s="468"/>
      <c r="F521" s="468"/>
      <c r="G521" s="468"/>
      <c r="H521" s="468"/>
      <c r="I521" s="491" t="s">
        <v>1323</v>
      </c>
      <c r="J521" s="491" t="s">
        <v>67</v>
      </c>
      <c r="K521" s="469" t="s">
        <v>1324</v>
      </c>
      <c r="L521" s="95" t="s">
        <v>34</v>
      </c>
      <c r="M521" s="95" t="s">
        <v>40</v>
      </c>
      <c r="N521" s="104">
        <v>0</v>
      </c>
      <c r="O521" s="104">
        <v>0</v>
      </c>
      <c r="P521" s="99">
        <v>527</v>
      </c>
      <c r="Q521" s="99">
        <v>0</v>
      </c>
      <c r="R521" s="99">
        <v>0</v>
      </c>
    </row>
    <row r="522" spans="1:18" s="107" customFormat="1" ht="60">
      <c r="A522" s="94" t="s">
        <v>1413</v>
      </c>
      <c r="B522" s="95" t="s">
        <v>472</v>
      </c>
      <c r="C522" s="468"/>
      <c r="D522" s="468"/>
      <c r="E522" s="468"/>
      <c r="F522" s="468"/>
      <c r="G522" s="468"/>
      <c r="H522" s="468"/>
      <c r="I522" s="491" t="s">
        <v>1431</v>
      </c>
      <c r="J522" s="491" t="s">
        <v>67</v>
      </c>
      <c r="K522" s="469" t="s">
        <v>1432</v>
      </c>
      <c r="L522" s="95" t="s">
        <v>34</v>
      </c>
      <c r="M522" s="95" t="s">
        <v>40</v>
      </c>
      <c r="N522" s="104">
        <v>0</v>
      </c>
      <c r="O522" s="104">
        <v>0</v>
      </c>
      <c r="P522" s="99">
        <v>5618.5</v>
      </c>
      <c r="Q522" s="99">
        <v>0</v>
      </c>
      <c r="R522" s="99">
        <v>0</v>
      </c>
    </row>
    <row r="523" spans="1:18" s="108" customFormat="1" ht="59.25" customHeight="1">
      <c r="A523" s="52" t="s">
        <v>655</v>
      </c>
      <c r="B523" s="477">
        <v>2326</v>
      </c>
      <c r="C523" s="52" t="s">
        <v>30</v>
      </c>
      <c r="D523" s="52" t="s">
        <v>30</v>
      </c>
      <c r="E523" s="52" t="s">
        <v>30</v>
      </c>
      <c r="F523" s="52" t="s">
        <v>30</v>
      </c>
      <c r="G523" s="52" t="s">
        <v>30</v>
      </c>
      <c r="H523" s="52" t="s">
        <v>30</v>
      </c>
      <c r="I523" s="52" t="s">
        <v>30</v>
      </c>
      <c r="J523" s="52" t="s">
        <v>30</v>
      </c>
      <c r="K523" s="52" t="s">
        <v>30</v>
      </c>
      <c r="L523" s="477"/>
      <c r="M523" s="477"/>
      <c r="N523" s="53">
        <f>SUM(N525:N555)</f>
        <v>43405.963999999993</v>
      </c>
      <c r="O523" s="53">
        <f>SUM(O525:O555)</f>
        <v>43294.861999999994</v>
      </c>
      <c r="P523" s="53">
        <f>SUM(P525:P555)</f>
        <v>33557.334000000003</v>
      </c>
      <c r="Q523" s="53">
        <f>SUM(Q525:Q548)</f>
        <v>0</v>
      </c>
      <c r="R523" s="53">
        <f>SUM(R525:R548)</f>
        <v>0</v>
      </c>
    </row>
    <row r="524" spans="1:18" s="108" customFormat="1" ht="14.25" customHeight="1">
      <c r="A524" s="47" t="s">
        <v>656</v>
      </c>
      <c r="B524" s="56"/>
      <c r="C524" s="98"/>
      <c r="D524" s="98"/>
      <c r="E524" s="98"/>
      <c r="F524" s="98"/>
      <c r="G524" s="98"/>
      <c r="H524" s="98"/>
      <c r="I524" s="98"/>
      <c r="J524" s="98"/>
      <c r="K524" s="98"/>
      <c r="L524" s="56"/>
      <c r="M524" s="56"/>
      <c r="N524" s="53"/>
      <c r="O524" s="53"/>
      <c r="P524" s="53"/>
      <c r="Q524" s="379"/>
      <c r="R524" s="161"/>
    </row>
    <row r="525" spans="1:18" s="107" customFormat="1" ht="72" customHeight="1">
      <c r="A525" s="94" t="s">
        <v>1271</v>
      </c>
      <c r="B525" s="95" t="s">
        <v>469</v>
      </c>
      <c r="C525" s="94"/>
      <c r="D525" s="94"/>
      <c r="E525" s="94"/>
      <c r="F525" s="94"/>
      <c r="G525" s="94"/>
      <c r="H525" s="94"/>
      <c r="I525" s="491" t="s">
        <v>1133</v>
      </c>
      <c r="J525" s="491" t="s">
        <v>67</v>
      </c>
      <c r="K525" s="469" t="s">
        <v>1053</v>
      </c>
      <c r="L525" s="95" t="s">
        <v>34</v>
      </c>
      <c r="M525" s="95" t="s">
        <v>40</v>
      </c>
      <c r="N525" s="104">
        <v>4083.0360000000001</v>
      </c>
      <c r="O525" s="104">
        <v>4083.0360000000001</v>
      </c>
      <c r="P525" s="99">
        <v>0</v>
      </c>
      <c r="Q525" s="99">
        <v>0</v>
      </c>
      <c r="R525" s="99">
        <v>0</v>
      </c>
    </row>
    <row r="526" spans="1:18" s="107" customFormat="1" ht="60" customHeight="1">
      <c r="A526" s="94" t="s">
        <v>1272</v>
      </c>
      <c r="B526" s="95" t="s">
        <v>460</v>
      </c>
      <c r="C526" s="94"/>
      <c r="D526" s="94"/>
      <c r="E526" s="94"/>
      <c r="F526" s="94"/>
      <c r="G526" s="94"/>
      <c r="H526" s="94"/>
      <c r="I526" s="491" t="s">
        <v>1004</v>
      </c>
      <c r="J526" s="491" t="s">
        <v>67</v>
      </c>
      <c r="K526" s="469" t="s">
        <v>1003</v>
      </c>
      <c r="L526" s="95" t="s">
        <v>34</v>
      </c>
      <c r="M526" s="95" t="s">
        <v>40</v>
      </c>
      <c r="N526" s="104">
        <v>998.43</v>
      </c>
      <c r="O526" s="104">
        <v>998.43</v>
      </c>
      <c r="P526" s="99">
        <v>0</v>
      </c>
      <c r="Q526" s="99">
        <v>0</v>
      </c>
      <c r="R526" s="99">
        <v>0</v>
      </c>
    </row>
    <row r="527" spans="1:18" s="107" customFormat="1" ht="96">
      <c r="A527" s="94" t="s">
        <v>1273</v>
      </c>
      <c r="B527" s="95" t="s">
        <v>467</v>
      </c>
      <c r="C527" s="94"/>
      <c r="D527" s="94"/>
      <c r="E527" s="94"/>
      <c r="F527" s="94"/>
      <c r="G527" s="94"/>
      <c r="H527" s="94"/>
      <c r="I527" s="491" t="s">
        <v>1058</v>
      </c>
      <c r="J527" s="491" t="s">
        <v>67</v>
      </c>
      <c r="K527" s="469" t="s">
        <v>1035</v>
      </c>
      <c r="L527" s="95" t="s">
        <v>34</v>
      </c>
      <c r="M527" s="95" t="s">
        <v>40</v>
      </c>
      <c r="N527" s="104">
        <v>2693.5940000000001</v>
      </c>
      <c r="O527" s="104">
        <v>2582.4920000000002</v>
      </c>
      <c r="P527" s="99">
        <v>0</v>
      </c>
      <c r="Q527" s="99">
        <v>0</v>
      </c>
      <c r="R527" s="99">
        <v>0</v>
      </c>
    </row>
    <row r="528" spans="1:18" s="107" customFormat="1" ht="84.75" customHeight="1">
      <c r="A528" s="94" t="s">
        <v>1274</v>
      </c>
      <c r="B528" s="95" t="s">
        <v>472</v>
      </c>
      <c r="C528" s="94"/>
      <c r="D528" s="94"/>
      <c r="E528" s="94"/>
      <c r="F528" s="94"/>
      <c r="G528" s="94"/>
      <c r="H528" s="94"/>
      <c r="I528" s="491" t="s">
        <v>1052</v>
      </c>
      <c r="J528" s="491" t="s">
        <v>67</v>
      </c>
      <c r="K528" s="469" t="s">
        <v>1053</v>
      </c>
      <c r="L528" s="95" t="s">
        <v>34</v>
      </c>
      <c r="M528" s="95" t="s">
        <v>40</v>
      </c>
      <c r="N528" s="104">
        <v>546.86400000000003</v>
      </c>
      <c r="O528" s="104">
        <v>546.86400000000003</v>
      </c>
      <c r="P528" s="99">
        <v>0</v>
      </c>
      <c r="Q528" s="99">
        <v>0</v>
      </c>
      <c r="R528" s="99">
        <v>0</v>
      </c>
    </row>
    <row r="529" spans="1:18" s="107" customFormat="1" ht="72.75" customHeight="1">
      <c r="A529" s="94" t="s">
        <v>1275</v>
      </c>
      <c r="B529" s="95" t="s">
        <v>1049</v>
      </c>
      <c r="C529" s="94"/>
      <c r="D529" s="94"/>
      <c r="E529" s="94"/>
      <c r="F529" s="94"/>
      <c r="G529" s="94"/>
      <c r="H529" s="94"/>
      <c r="I529" s="491" t="s">
        <v>1190</v>
      </c>
      <c r="J529" s="491" t="s">
        <v>67</v>
      </c>
      <c r="K529" s="469" t="s">
        <v>1053</v>
      </c>
      <c r="L529" s="95" t="s">
        <v>34</v>
      </c>
      <c r="M529" s="95" t="s">
        <v>40</v>
      </c>
      <c r="N529" s="104">
        <v>3104.288</v>
      </c>
      <c r="O529" s="104">
        <v>3104.288</v>
      </c>
      <c r="P529" s="99">
        <v>0</v>
      </c>
      <c r="Q529" s="99">
        <v>0</v>
      </c>
      <c r="R529" s="99">
        <v>0</v>
      </c>
    </row>
    <row r="530" spans="1:18" s="107" customFormat="1" ht="48">
      <c r="A530" s="94" t="s">
        <v>1276</v>
      </c>
      <c r="B530" s="95" t="s">
        <v>479</v>
      </c>
      <c r="C530" s="94"/>
      <c r="D530" s="94"/>
      <c r="E530" s="94"/>
      <c r="F530" s="94"/>
      <c r="G530" s="94"/>
      <c r="H530" s="94"/>
      <c r="I530" s="491" t="s">
        <v>1369</v>
      </c>
      <c r="J530" s="491" t="s">
        <v>67</v>
      </c>
      <c r="K530" s="469" t="s">
        <v>1046</v>
      </c>
      <c r="L530" s="95" t="s">
        <v>34</v>
      </c>
      <c r="M530" s="95" t="s">
        <v>40</v>
      </c>
      <c r="N530" s="104">
        <v>115</v>
      </c>
      <c r="O530" s="104">
        <v>115</v>
      </c>
      <c r="P530" s="99">
        <v>0</v>
      </c>
      <c r="Q530" s="99">
        <v>0</v>
      </c>
      <c r="R530" s="99">
        <v>0</v>
      </c>
    </row>
    <row r="531" spans="1:18" s="107" customFormat="1" ht="62.25" customHeight="1">
      <c r="A531" s="94" t="s">
        <v>1277</v>
      </c>
      <c r="B531" s="95" t="s">
        <v>480</v>
      </c>
      <c r="C531" s="94"/>
      <c r="D531" s="94"/>
      <c r="E531" s="94"/>
      <c r="F531" s="94"/>
      <c r="G531" s="94"/>
      <c r="H531" s="94"/>
      <c r="I531" s="491" t="s">
        <v>1059</v>
      </c>
      <c r="J531" s="491" t="s">
        <v>67</v>
      </c>
      <c r="K531" s="469" t="s">
        <v>1046</v>
      </c>
      <c r="L531" s="95" t="s">
        <v>34</v>
      </c>
      <c r="M531" s="95" t="s">
        <v>40</v>
      </c>
      <c r="N531" s="104">
        <v>110</v>
      </c>
      <c r="O531" s="104">
        <v>110</v>
      </c>
      <c r="P531" s="99">
        <v>0</v>
      </c>
      <c r="Q531" s="99">
        <v>0</v>
      </c>
      <c r="R531" s="99">
        <v>0</v>
      </c>
    </row>
    <row r="532" spans="1:18" s="107" customFormat="1" ht="37.5" customHeight="1">
      <c r="A532" s="94" t="s">
        <v>1278</v>
      </c>
      <c r="B532" s="95" t="s">
        <v>554</v>
      </c>
      <c r="C532" s="94"/>
      <c r="D532" s="94"/>
      <c r="E532" s="94"/>
      <c r="F532" s="94"/>
      <c r="G532" s="94"/>
      <c r="H532" s="94"/>
      <c r="I532" s="491" t="s">
        <v>1061</v>
      </c>
      <c r="J532" s="491" t="s">
        <v>67</v>
      </c>
      <c r="K532" s="469" t="s">
        <v>1046</v>
      </c>
      <c r="L532" s="95" t="s">
        <v>34</v>
      </c>
      <c r="M532" s="95" t="s">
        <v>40</v>
      </c>
      <c r="N532" s="104">
        <v>735</v>
      </c>
      <c r="O532" s="104">
        <v>735</v>
      </c>
      <c r="P532" s="99">
        <v>0</v>
      </c>
      <c r="Q532" s="99">
        <v>0</v>
      </c>
      <c r="R532" s="99">
        <v>0</v>
      </c>
    </row>
    <row r="533" spans="1:18" s="107" customFormat="1" ht="59.25" customHeight="1">
      <c r="A533" s="94" t="s">
        <v>1279</v>
      </c>
      <c r="B533" s="95" t="s">
        <v>482</v>
      </c>
      <c r="C533" s="94"/>
      <c r="D533" s="94"/>
      <c r="E533" s="94"/>
      <c r="F533" s="94"/>
      <c r="G533" s="94"/>
      <c r="H533" s="94"/>
      <c r="I533" s="491" t="s">
        <v>1083</v>
      </c>
      <c r="J533" s="491" t="s">
        <v>67</v>
      </c>
      <c r="K533" s="469" t="s">
        <v>1084</v>
      </c>
      <c r="L533" s="95" t="s">
        <v>34</v>
      </c>
      <c r="M533" s="95" t="s">
        <v>40</v>
      </c>
      <c r="N533" s="104">
        <v>222.22200000000001</v>
      </c>
      <c r="O533" s="104">
        <v>222.22200000000001</v>
      </c>
      <c r="P533" s="99">
        <v>0</v>
      </c>
      <c r="Q533" s="99">
        <v>0</v>
      </c>
      <c r="R533" s="99">
        <v>0</v>
      </c>
    </row>
    <row r="534" spans="1:18" s="107" customFormat="1" ht="48">
      <c r="A534" s="94" t="s">
        <v>1280</v>
      </c>
      <c r="B534" s="95" t="s">
        <v>484</v>
      </c>
      <c r="C534" s="94"/>
      <c r="D534" s="94"/>
      <c r="E534" s="94"/>
      <c r="F534" s="94"/>
      <c r="G534" s="94"/>
      <c r="H534" s="94"/>
      <c r="I534" s="491" t="s">
        <v>1115</v>
      </c>
      <c r="J534" s="491" t="s">
        <v>67</v>
      </c>
      <c r="K534" s="469" t="s">
        <v>1112</v>
      </c>
      <c r="L534" s="95" t="s">
        <v>34</v>
      </c>
      <c r="M534" s="95" t="s">
        <v>40</v>
      </c>
      <c r="N534" s="104">
        <v>250</v>
      </c>
      <c r="O534" s="104">
        <v>250</v>
      </c>
      <c r="P534" s="99">
        <v>0</v>
      </c>
      <c r="Q534" s="99">
        <v>0</v>
      </c>
      <c r="R534" s="99">
        <v>0</v>
      </c>
    </row>
    <row r="535" spans="1:18" s="107" customFormat="1" ht="59.25" customHeight="1">
      <c r="A535" s="94" t="s">
        <v>1281</v>
      </c>
      <c r="B535" s="95" t="s">
        <v>691</v>
      </c>
      <c r="C535" s="94"/>
      <c r="D535" s="94"/>
      <c r="E535" s="94"/>
      <c r="F535" s="94"/>
      <c r="G535" s="94"/>
      <c r="H535" s="94"/>
      <c r="I535" s="491" t="s">
        <v>1136</v>
      </c>
      <c r="J535" s="491" t="s">
        <v>67</v>
      </c>
      <c r="K535" s="469" t="s">
        <v>1132</v>
      </c>
      <c r="L535" s="95" t="s">
        <v>34</v>
      </c>
      <c r="M535" s="95" t="s">
        <v>40</v>
      </c>
      <c r="N535" s="104">
        <v>100</v>
      </c>
      <c r="O535" s="104">
        <v>100</v>
      </c>
      <c r="P535" s="99">
        <v>0</v>
      </c>
      <c r="Q535" s="99">
        <v>0</v>
      </c>
      <c r="R535" s="99">
        <v>0</v>
      </c>
    </row>
    <row r="536" spans="1:18" s="107" customFormat="1" ht="60.75" customHeight="1">
      <c r="A536" s="94" t="s">
        <v>1282</v>
      </c>
      <c r="B536" s="95" t="s">
        <v>1103</v>
      </c>
      <c r="C536" s="94"/>
      <c r="D536" s="94"/>
      <c r="E536" s="94"/>
      <c r="F536" s="94"/>
      <c r="G536" s="94"/>
      <c r="H536" s="94"/>
      <c r="I536" s="322" t="s">
        <v>1134</v>
      </c>
      <c r="J536" s="491" t="s">
        <v>67</v>
      </c>
      <c r="K536" s="469" t="s">
        <v>1132</v>
      </c>
      <c r="L536" s="95" t="s">
        <v>34</v>
      </c>
      <c r="M536" s="95" t="s">
        <v>40</v>
      </c>
      <c r="N536" s="104">
        <v>150</v>
      </c>
      <c r="O536" s="104">
        <v>150</v>
      </c>
      <c r="P536" s="104">
        <v>0</v>
      </c>
      <c r="Q536" s="104">
        <v>0</v>
      </c>
      <c r="R536" s="104">
        <v>0</v>
      </c>
    </row>
    <row r="537" spans="1:18" s="107" customFormat="1" ht="95.25" customHeight="1">
      <c r="A537" s="563" t="s">
        <v>1308</v>
      </c>
      <c r="B537" s="481" t="s">
        <v>1309</v>
      </c>
      <c r="C537" s="96"/>
      <c r="D537" s="96"/>
      <c r="E537" s="96"/>
      <c r="F537" s="96"/>
      <c r="G537" s="96"/>
      <c r="H537" s="96"/>
      <c r="I537" s="425" t="s">
        <v>1326</v>
      </c>
      <c r="J537" s="498" t="s">
        <v>67</v>
      </c>
      <c r="K537" s="503" t="s">
        <v>1327</v>
      </c>
      <c r="L537" s="481" t="s">
        <v>34</v>
      </c>
      <c r="M537" s="481" t="s">
        <v>40</v>
      </c>
      <c r="N537" s="83">
        <v>0</v>
      </c>
      <c r="O537" s="83">
        <v>0</v>
      </c>
      <c r="P537" s="83">
        <v>1427.2339999999999</v>
      </c>
      <c r="Q537" s="83">
        <v>0</v>
      </c>
      <c r="R537" s="83">
        <v>0</v>
      </c>
    </row>
    <row r="538" spans="1:18" s="107" customFormat="1" ht="38.25" customHeight="1">
      <c r="A538" s="564"/>
      <c r="B538" s="511"/>
      <c r="C538" s="100"/>
      <c r="D538" s="100"/>
      <c r="E538" s="100"/>
      <c r="F538" s="100"/>
      <c r="G538" s="100"/>
      <c r="H538" s="100"/>
      <c r="I538" s="426" t="s">
        <v>1336</v>
      </c>
      <c r="J538" s="502" t="s">
        <v>67</v>
      </c>
      <c r="K538" s="504" t="s">
        <v>1327</v>
      </c>
      <c r="L538" s="511"/>
      <c r="M538" s="511"/>
      <c r="N538" s="101"/>
      <c r="O538" s="101"/>
      <c r="P538" s="101"/>
      <c r="Q538" s="101"/>
      <c r="R538" s="101"/>
    </row>
    <row r="539" spans="1:18" s="107" customFormat="1" ht="72">
      <c r="A539" s="452" t="s">
        <v>1383</v>
      </c>
      <c r="B539" s="511" t="s">
        <v>807</v>
      </c>
      <c r="C539" s="100"/>
      <c r="D539" s="100"/>
      <c r="E539" s="100"/>
      <c r="F539" s="100"/>
      <c r="G539" s="100"/>
      <c r="H539" s="100"/>
      <c r="I539" s="426" t="s">
        <v>1393</v>
      </c>
      <c r="J539" s="502" t="s">
        <v>67</v>
      </c>
      <c r="K539" s="504" t="s">
        <v>1394</v>
      </c>
      <c r="L539" s="133" t="s">
        <v>34</v>
      </c>
      <c r="M539" s="95" t="s">
        <v>40</v>
      </c>
      <c r="N539" s="101">
        <v>0</v>
      </c>
      <c r="O539" s="101">
        <v>0</v>
      </c>
      <c r="P539" s="101">
        <v>241.11</v>
      </c>
      <c r="Q539" s="101">
        <v>0</v>
      </c>
      <c r="R539" s="101">
        <v>0</v>
      </c>
    </row>
    <row r="540" spans="1:18" s="107" customFormat="1" ht="85.5" customHeight="1">
      <c r="A540" s="452" t="s">
        <v>1384</v>
      </c>
      <c r="B540" s="511" t="s">
        <v>462</v>
      </c>
      <c r="C540" s="100"/>
      <c r="D540" s="100"/>
      <c r="E540" s="100"/>
      <c r="F540" s="100"/>
      <c r="G540" s="100"/>
      <c r="H540" s="100"/>
      <c r="I540" s="426" t="s">
        <v>1399</v>
      </c>
      <c r="J540" s="502" t="s">
        <v>67</v>
      </c>
      <c r="K540" s="504" t="s">
        <v>1397</v>
      </c>
      <c r="L540" s="133" t="s">
        <v>34</v>
      </c>
      <c r="M540" s="95" t="s">
        <v>40</v>
      </c>
      <c r="N540" s="101">
        <v>0</v>
      </c>
      <c r="O540" s="101">
        <v>0</v>
      </c>
      <c r="P540" s="101">
        <v>616.56500000000005</v>
      </c>
      <c r="Q540" s="101">
        <v>0</v>
      </c>
      <c r="R540" s="101">
        <v>0</v>
      </c>
    </row>
    <row r="541" spans="1:18" s="107" customFormat="1" ht="84">
      <c r="A541" s="452" t="s">
        <v>1385</v>
      </c>
      <c r="B541" s="511" t="s">
        <v>461</v>
      </c>
      <c r="C541" s="100"/>
      <c r="D541" s="100"/>
      <c r="E541" s="100"/>
      <c r="F541" s="100"/>
      <c r="G541" s="100"/>
      <c r="H541" s="100"/>
      <c r="I541" s="426" t="s">
        <v>1400</v>
      </c>
      <c r="J541" s="502" t="s">
        <v>67</v>
      </c>
      <c r="K541" s="504" t="s">
        <v>1397</v>
      </c>
      <c r="L541" s="133" t="s">
        <v>34</v>
      </c>
      <c r="M541" s="95" t="s">
        <v>40</v>
      </c>
      <c r="N541" s="101">
        <v>0</v>
      </c>
      <c r="O541" s="101">
        <v>0</v>
      </c>
      <c r="P541" s="101">
        <v>110</v>
      </c>
      <c r="Q541" s="101">
        <v>0</v>
      </c>
      <c r="R541" s="101">
        <v>0</v>
      </c>
    </row>
    <row r="542" spans="1:18" s="107" customFormat="1" ht="38.25" customHeight="1">
      <c r="A542" s="452" t="s">
        <v>1386</v>
      </c>
      <c r="B542" s="511" t="s">
        <v>460</v>
      </c>
      <c r="C542" s="100"/>
      <c r="D542" s="100"/>
      <c r="E542" s="100"/>
      <c r="F542" s="100"/>
      <c r="G542" s="100"/>
      <c r="H542" s="100"/>
      <c r="I542" s="426" t="s">
        <v>1401</v>
      </c>
      <c r="J542" s="502" t="s">
        <v>67</v>
      </c>
      <c r="K542" s="504" t="s">
        <v>1397</v>
      </c>
      <c r="L542" s="133" t="s">
        <v>34</v>
      </c>
      <c r="M542" s="95" t="s">
        <v>40</v>
      </c>
      <c r="N542" s="101">
        <v>0</v>
      </c>
      <c r="O542" s="101">
        <v>0</v>
      </c>
      <c r="P542" s="101">
        <v>600</v>
      </c>
      <c r="Q542" s="101">
        <v>0</v>
      </c>
      <c r="R542" s="101">
        <v>0</v>
      </c>
    </row>
    <row r="543" spans="1:18" s="107" customFormat="1" ht="48">
      <c r="A543" s="452" t="s">
        <v>1412</v>
      </c>
      <c r="B543" s="511"/>
      <c r="C543" s="100"/>
      <c r="D543" s="100"/>
      <c r="E543" s="100"/>
      <c r="F543" s="100"/>
      <c r="G543" s="100"/>
      <c r="H543" s="100"/>
      <c r="I543" s="426" t="s">
        <v>1433</v>
      </c>
      <c r="J543" s="502" t="s">
        <v>67</v>
      </c>
      <c r="K543" s="504" t="s">
        <v>1432</v>
      </c>
      <c r="L543" s="133" t="s">
        <v>34</v>
      </c>
      <c r="M543" s="95" t="s">
        <v>40</v>
      </c>
      <c r="N543" s="101">
        <v>0</v>
      </c>
      <c r="O543" s="101">
        <v>0</v>
      </c>
      <c r="P543" s="101">
        <v>325</v>
      </c>
      <c r="Q543" s="101">
        <v>0</v>
      </c>
      <c r="R543" s="101">
        <v>0</v>
      </c>
    </row>
    <row r="544" spans="1:18" s="107" customFormat="1" ht="24">
      <c r="A544" s="65" t="s">
        <v>657</v>
      </c>
      <c r="B544" s="95"/>
      <c r="C544" s="94"/>
      <c r="D544" s="94"/>
      <c r="E544" s="94"/>
      <c r="F544" s="94"/>
      <c r="G544" s="94"/>
      <c r="H544" s="94"/>
      <c r="I544" s="491"/>
      <c r="J544" s="491"/>
      <c r="K544" s="469"/>
      <c r="L544" s="468"/>
      <c r="M544" s="468"/>
      <c r="N544" s="94"/>
      <c r="O544" s="94"/>
      <c r="P544" s="94"/>
      <c r="Q544" s="94"/>
      <c r="R544" s="94"/>
    </row>
    <row r="545" spans="1:18" s="107" customFormat="1" ht="96">
      <c r="A545" s="94" t="s">
        <v>658</v>
      </c>
      <c r="B545" s="148" t="s">
        <v>1328</v>
      </c>
      <c r="C545" s="538"/>
      <c r="D545" s="538"/>
      <c r="E545" s="538"/>
      <c r="F545" s="538" t="s">
        <v>985</v>
      </c>
      <c r="G545" s="538" t="s">
        <v>986</v>
      </c>
      <c r="H545" s="538" t="s">
        <v>983</v>
      </c>
      <c r="I545" s="425" t="s">
        <v>1326</v>
      </c>
      <c r="J545" s="498" t="s">
        <v>67</v>
      </c>
      <c r="K545" s="503" t="s">
        <v>1327</v>
      </c>
      <c r="L545" s="133" t="s">
        <v>34</v>
      </c>
      <c r="M545" s="95" t="s">
        <v>40</v>
      </c>
      <c r="N545" s="104">
        <v>697.27300000000002</v>
      </c>
      <c r="O545" s="104">
        <v>697.27300000000002</v>
      </c>
      <c r="P545" s="104">
        <v>813.524</v>
      </c>
      <c r="Q545" s="94">
        <v>0</v>
      </c>
      <c r="R545" s="94">
        <v>0</v>
      </c>
    </row>
    <row r="546" spans="1:18" s="107" customFormat="1" ht="71.25" customHeight="1">
      <c r="A546" s="42" t="s">
        <v>659</v>
      </c>
      <c r="B546" s="139" t="s">
        <v>1329</v>
      </c>
      <c r="C546" s="536"/>
      <c r="D546" s="536"/>
      <c r="E546" s="536"/>
      <c r="F546" s="536"/>
      <c r="G546" s="536"/>
      <c r="H546" s="536"/>
      <c r="I546" s="426" t="s">
        <v>1336</v>
      </c>
      <c r="J546" s="502" t="s">
        <v>67</v>
      </c>
      <c r="K546" s="504" t="s">
        <v>1327</v>
      </c>
      <c r="L546" s="70" t="s">
        <v>34</v>
      </c>
      <c r="M546" s="509" t="s">
        <v>40</v>
      </c>
      <c r="N546" s="110">
        <v>22545.151999999998</v>
      </c>
      <c r="O546" s="110">
        <v>22545.151999999998</v>
      </c>
      <c r="P546" s="110">
        <v>26303.928</v>
      </c>
      <c r="Q546" s="386">
        <v>0</v>
      </c>
      <c r="R546" s="131">
        <v>0</v>
      </c>
    </row>
    <row r="547" spans="1:18" s="107" customFormat="1" ht="49.5" customHeight="1">
      <c r="A547" s="96" t="s">
        <v>1387</v>
      </c>
      <c r="B547" s="481" t="s">
        <v>905</v>
      </c>
      <c r="C547" s="438"/>
      <c r="D547" s="438"/>
      <c r="E547" s="438"/>
      <c r="F547" s="536" t="s">
        <v>990</v>
      </c>
      <c r="G547" s="536" t="s">
        <v>996</v>
      </c>
      <c r="H547" s="536" t="s">
        <v>983</v>
      </c>
      <c r="I547" s="539" t="s">
        <v>1393</v>
      </c>
      <c r="J547" s="539" t="s">
        <v>67</v>
      </c>
      <c r="K547" s="635" t="s">
        <v>1394</v>
      </c>
      <c r="L547" s="481" t="s">
        <v>34</v>
      </c>
      <c r="M547" s="481" t="s">
        <v>40</v>
      </c>
      <c r="N547" s="83">
        <v>2258.6</v>
      </c>
      <c r="O547" s="83">
        <v>2258.6</v>
      </c>
      <c r="P547" s="83">
        <v>1091</v>
      </c>
      <c r="Q547" s="83">
        <v>0</v>
      </c>
      <c r="R547" s="83">
        <v>0</v>
      </c>
    </row>
    <row r="548" spans="1:18" s="107" customFormat="1" ht="60.75" customHeight="1">
      <c r="A548" s="96" t="s">
        <v>1388</v>
      </c>
      <c r="B548" s="481" t="s">
        <v>906</v>
      </c>
      <c r="C548" s="438"/>
      <c r="D548" s="438"/>
      <c r="E548" s="438"/>
      <c r="F548" s="537"/>
      <c r="G548" s="537"/>
      <c r="H548" s="537"/>
      <c r="I548" s="541"/>
      <c r="J548" s="541"/>
      <c r="K548" s="636"/>
      <c r="L548" s="481" t="s">
        <v>34</v>
      </c>
      <c r="M548" s="481" t="s">
        <v>40</v>
      </c>
      <c r="N548" s="83">
        <v>462.9</v>
      </c>
      <c r="O548" s="83">
        <v>462.9</v>
      </c>
      <c r="P548" s="83">
        <v>33.700000000000003</v>
      </c>
      <c r="Q548" s="83">
        <v>0</v>
      </c>
      <c r="R548" s="83">
        <v>0</v>
      </c>
    </row>
    <row r="549" spans="1:18" s="107" customFormat="1" ht="120" customHeight="1">
      <c r="A549" s="96" t="s">
        <v>1283</v>
      </c>
      <c r="B549" s="481" t="s">
        <v>451</v>
      </c>
      <c r="C549" s="438"/>
      <c r="D549" s="438"/>
      <c r="E549" s="438"/>
      <c r="F549" s="439" t="s">
        <v>1036</v>
      </c>
      <c r="G549" s="439" t="s">
        <v>787</v>
      </c>
      <c r="H549" s="439" t="s">
        <v>503</v>
      </c>
      <c r="I549" s="498" t="s">
        <v>1034</v>
      </c>
      <c r="J549" s="498" t="s">
        <v>67</v>
      </c>
      <c r="K549" s="503" t="s">
        <v>1035</v>
      </c>
      <c r="L549" s="481" t="s">
        <v>34</v>
      </c>
      <c r="M549" s="481" t="s">
        <v>40</v>
      </c>
      <c r="N549" s="83">
        <v>100</v>
      </c>
      <c r="O549" s="83">
        <v>100</v>
      </c>
      <c r="P549" s="83">
        <v>0</v>
      </c>
      <c r="Q549" s="83">
        <v>0</v>
      </c>
      <c r="R549" s="83">
        <v>0</v>
      </c>
    </row>
    <row r="550" spans="1:18" s="107" customFormat="1" ht="84" customHeight="1">
      <c r="A550" s="96" t="s">
        <v>1284</v>
      </c>
      <c r="B550" s="481" t="s">
        <v>837</v>
      </c>
      <c r="C550" s="438"/>
      <c r="D550" s="438"/>
      <c r="E550" s="438"/>
      <c r="F550" s="468"/>
      <c r="G550" s="468"/>
      <c r="H550" s="468"/>
      <c r="I550" s="539" t="s">
        <v>1041</v>
      </c>
      <c r="J550" s="539" t="s">
        <v>67</v>
      </c>
      <c r="K550" s="635" t="s">
        <v>1042</v>
      </c>
      <c r="L550" s="481" t="s">
        <v>34</v>
      </c>
      <c r="M550" s="481" t="s">
        <v>40</v>
      </c>
      <c r="N550" s="83">
        <v>818</v>
      </c>
      <c r="O550" s="83">
        <v>818</v>
      </c>
      <c r="P550" s="83">
        <v>0</v>
      </c>
      <c r="Q550" s="83">
        <v>0</v>
      </c>
      <c r="R550" s="83">
        <v>0</v>
      </c>
    </row>
    <row r="551" spans="1:18" s="107" customFormat="1" ht="84.75" customHeight="1">
      <c r="A551" s="96" t="s">
        <v>1285</v>
      </c>
      <c r="B551" s="481" t="s">
        <v>833</v>
      </c>
      <c r="C551" s="438"/>
      <c r="D551" s="438"/>
      <c r="E551" s="438"/>
      <c r="F551" s="468"/>
      <c r="G551" s="468"/>
      <c r="H551" s="468"/>
      <c r="I551" s="540"/>
      <c r="J551" s="540"/>
      <c r="K551" s="612"/>
      <c r="L551" s="481" t="s">
        <v>34</v>
      </c>
      <c r="M551" s="481" t="s">
        <v>40</v>
      </c>
      <c r="N551" s="83">
        <v>987.62599999999998</v>
      </c>
      <c r="O551" s="83">
        <v>987.62599999999998</v>
      </c>
      <c r="P551" s="83">
        <v>0</v>
      </c>
      <c r="Q551" s="83">
        <v>0</v>
      </c>
      <c r="R551" s="83">
        <v>0</v>
      </c>
    </row>
    <row r="552" spans="1:18" s="107" customFormat="1" ht="106.5" customHeight="1">
      <c r="A552" s="96" t="s">
        <v>1286</v>
      </c>
      <c r="B552" s="481" t="s">
        <v>838</v>
      </c>
      <c r="C552" s="438"/>
      <c r="D552" s="438"/>
      <c r="E552" s="438"/>
      <c r="F552" s="468"/>
      <c r="G552" s="468"/>
      <c r="H552" s="468"/>
      <c r="I552" s="541"/>
      <c r="J552" s="541"/>
      <c r="K552" s="636"/>
      <c r="L552" s="481" t="s">
        <v>34</v>
      </c>
      <c r="M552" s="481" t="s">
        <v>40</v>
      </c>
      <c r="N552" s="83">
        <v>427.97899999999998</v>
      </c>
      <c r="O552" s="83">
        <v>427.97899999999998</v>
      </c>
      <c r="P552" s="83">
        <v>0</v>
      </c>
      <c r="Q552" s="83">
        <v>0</v>
      </c>
      <c r="R552" s="83">
        <v>0</v>
      </c>
    </row>
    <row r="553" spans="1:18" s="107" customFormat="1" ht="96">
      <c r="A553" s="96" t="s">
        <v>1477</v>
      </c>
      <c r="B553" s="481" t="s">
        <v>833</v>
      </c>
      <c r="C553" s="536"/>
      <c r="D553" s="536"/>
      <c r="E553" s="536"/>
      <c r="F553" s="536"/>
      <c r="G553" s="536"/>
      <c r="H553" s="536"/>
      <c r="I553" s="539" t="s">
        <v>1496</v>
      </c>
      <c r="J553" s="539" t="s">
        <v>67</v>
      </c>
      <c r="K553" s="635" t="s">
        <v>1493</v>
      </c>
      <c r="L553" s="481" t="s">
        <v>34</v>
      </c>
      <c r="M553" s="481" t="s">
        <v>40</v>
      </c>
      <c r="N553" s="83">
        <v>0</v>
      </c>
      <c r="O553" s="83">
        <v>0</v>
      </c>
      <c r="P553" s="83">
        <v>999.99900000000002</v>
      </c>
      <c r="Q553" s="83">
        <v>0</v>
      </c>
      <c r="R553" s="83">
        <v>0</v>
      </c>
    </row>
    <row r="554" spans="1:18" s="107" customFormat="1" ht="106.5" customHeight="1">
      <c r="A554" s="96" t="s">
        <v>1478</v>
      </c>
      <c r="B554" s="481" t="s">
        <v>838</v>
      </c>
      <c r="C554" s="537"/>
      <c r="D554" s="537"/>
      <c r="E554" s="537"/>
      <c r="F554" s="537"/>
      <c r="G554" s="537"/>
      <c r="H554" s="537"/>
      <c r="I554" s="541"/>
      <c r="J554" s="541"/>
      <c r="K554" s="636"/>
      <c r="L554" s="481" t="s">
        <v>32</v>
      </c>
      <c r="M554" s="481" t="s">
        <v>40</v>
      </c>
      <c r="N554" s="83">
        <v>0</v>
      </c>
      <c r="O554" s="83">
        <v>0</v>
      </c>
      <c r="P554" s="83">
        <v>995.274</v>
      </c>
      <c r="Q554" s="83">
        <v>0</v>
      </c>
      <c r="R554" s="83">
        <v>0</v>
      </c>
    </row>
    <row r="555" spans="1:18" s="107" customFormat="1" ht="83.25" customHeight="1">
      <c r="A555" s="96" t="s">
        <v>1479</v>
      </c>
      <c r="B555" s="481" t="s">
        <v>1077</v>
      </c>
      <c r="C555" s="438"/>
      <c r="D555" s="438"/>
      <c r="E555" s="438"/>
      <c r="F555" s="438" t="s">
        <v>1085</v>
      </c>
      <c r="G555" s="438" t="s">
        <v>1086</v>
      </c>
      <c r="H555" s="438" t="s">
        <v>983</v>
      </c>
      <c r="I555" s="491" t="s">
        <v>1083</v>
      </c>
      <c r="J555" s="491" t="s">
        <v>67</v>
      </c>
      <c r="K555" s="469" t="s">
        <v>1084</v>
      </c>
      <c r="L555" s="481" t="s">
        <v>34</v>
      </c>
      <c r="M555" s="481" t="s">
        <v>40</v>
      </c>
      <c r="N555" s="83">
        <v>2000</v>
      </c>
      <c r="O555" s="83">
        <v>2000</v>
      </c>
      <c r="P555" s="83">
        <v>0</v>
      </c>
      <c r="Q555" s="83"/>
      <c r="R555" s="83">
        <v>0</v>
      </c>
    </row>
    <row r="556" spans="1:18" s="108" customFormat="1" ht="72" customHeight="1">
      <c r="A556" s="567" t="s">
        <v>660</v>
      </c>
      <c r="B556" s="97" t="s">
        <v>1032</v>
      </c>
      <c r="C556" s="91"/>
      <c r="D556" s="91"/>
      <c r="E556" s="91"/>
      <c r="F556" s="91"/>
      <c r="G556" s="91"/>
      <c r="H556" s="91"/>
      <c r="I556" s="539" t="s">
        <v>1043</v>
      </c>
      <c r="J556" s="539" t="s">
        <v>67</v>
      </c>
      <c r="K556" s="503" t="s">
        <v>1035</v>
      </c>
      <c r="L556" s="97" t="s">
        <v>36</v>
      </c>
      <c r="M556" s="97" t="s">
        <v>24</v>
      </c>
      <c r="N556" s="284">
        <v>537</v>
      </c>
      <c r="O556" s="284">
        <v>537</v>
      </c>
      <c r="P556" s="284">
        <v>0</v>
      </c>
      <c r="Q556" s="284">
        <v>0</v>
      </c>
      <c r="R556" s="284">
        <v>0</v>
      </c>
    </row>
    <row r="557" spans="1:18" s="108" customFormat="1" ht="72" customHeight="1">
      <c r="A557" s="598"/>
      <c r="B557" s="294" t="s">
        <v>1033</v>
      </c>
      <c r="C557" s="73"/>
      <c r="D557" s="73"/>
      <c r="E557" s="73"/>
      <c r="F557" s="73"/>
      <c r="G557" s="73"/>
      <c r="H557" s="73"/>
      <c r="I557" s="541"/>
      <c r="J557" s="541"/>
      <c r="K557" s="485"/>
      <c r="L557" s="294" t="s">
        <v>36</v>
      </c>
      <c r="M557" s="294" t="s">
        <v>24</v>
      </c>
      <c r="N557" s="331">
        <v>537</v>
      </c>
      <c r="O557" s="331">
        <v>537</v>
      </c>
      <c r="P557" s="331">
        <v>0</v>
      </c>
      <c r="Q557" s="331">
        <v>0</v>
      </c>
      <c r="R557" s="331">
        <v>0</v>
      </c>
    </row>
    <row r="558" spans="1:18" s="108" customFormat="1" ht="24">
      <c r="A558" s="437" t="s">
        <v>835</v>
      </c>
      <c r="B558" s="97" t="s">
        <v>836</v>
      </c>
      <c r="C558" s="91"/>
      <c r="D558" s="91"/>
      <c r="E558" s="91"/>
      <c r="F558" s="91"/>
      <c r="G558" s="91"/>
      <c r="H558" s="91"/>
      <c r="I558" s="279"/>
      <c r="J558" s="498"/>
      <c r="K558" s="503"/>
      <c r="L558" s="97"/>
      <c r="M558" s="97"/>
      <c r="N558" s="284">
        <f>SUM(N559:N559)</f>
        <v>0</v>
      </c>
      <c r="O558" s="284">
        <f>SUM(O559:O559)</f>
        <v>0</v>
      </c>
      <c r="P558" s="284">
        <f>SUM(P559:P559)</f>
        <v>1000</v>
      </c>
      <c r="Q558" s="284">
        <f>SUM(Q559:Q559)</f>
        <v>0</v>
      </c>
      <c r="R558" s="284">
        <f>SUM(R559:R559)</f>
        <v>0</v>
      </c>
    </row>
    <row r="559" spans="1:18" s="107" customFormat="1" ht="72" customHeight="1">
      <c r="A559" s="372"/>
      <c r="B559" s="95" t="s">
        <v>1497</v>
      </c>
      <c r="C559" s="94"/>
      <c r="D559" s="94"/>
      <c r="E559" s="94"/>
      <c r="F559" s="468"/>
      <c r="G559" s="468"/>
      <c r="H559" s="468"/>
      <c r="I559" s="491" t="s">
        <v>1496</v>
      </c>
      <c r="J559" s="491" t="s">
        <v>67</v>
      </c>
      <c r="K559" s="469" t="s">
        <v>1493</v>
      </c>
      <c r="L559" s="95" t="s">
        <v>34</v>
      </c>
      <c r="M559" s="95" t="s">
        <v>40</v>
      </c>
      <c r="N559" s="104">
        <v>0</v>
      </c>
      <c r="O559" s="104">
        <v>0</v>
      </c>
      <c r="P559" s="104">
        <v>1000</v>
      </c>
      <c r="Q559" s="104">
        <v>0</v>
      </c>
      <c r="R559" s="104">
        <v>0</v>
      </c>
    </row>
    <row r="560" spans="1:18" s="108" customFormat="1" ht="84" hidden="1">
      <c r="A560" s="91" t="s">
        <v>661</v>
      </c>
      <c r="B560" s="494" t="s">
        <v>692</v>
      </c>
      <c r="C560" s="91"/>
      <c r="D560" s="91"/>
      <c r="E560" s="91"/>
      <c r="F560" s="91"/>
      <c r="G560" s="91"/>
      <c r="H560" s="91"/>
      <c r="I560" s="279" t="s">
        <v>407</v>
      </c>
      <c r="J560" s="498" t="s">
        <v>67</v>
      </c>
      <c r="K560" s="503" t="s">
        <v>117</v>
      </c>
      <c r="L560" s="97" t="s">
        <v>36</v>
      </c>
      <c r="M560" s="97" t="s">
        <v>34</v>
      </c>
      <c r="N560" s="91">
        <v>0</v>
      </c>
      <c r="O560" s="91">
        <v>0</v>
      </c>
      <c r="P560" s="91">
        <v>0</v>
      </c>
      <c r="Q560" s="91">
        <v>0</v>
      </c>
      <c r="R560" s="91">
        <v>0</v>
      </c>
    </row>
    <row r="561" spans="1:18" s="108" customFormat="1" ht="72" hidden="1">
      <c r="A561" s="73"/>
      <c r="B561" s="495"/>
      <c r="C561" s="73"/>
      <c r="D561" s="73"/>
      <c r="E561" s="73"/>
      <c r="F561" s="73"/>
      <c r="G561" s="73"/>
      <c r="H561" s="73"/>
      <c r="I561" s="1" t="s">
        <v>866</v>
      </c>
      <c r="J561" s="484" t="s">
        <v>67</v>
      </c>
      <c r="K561" s="485" t="s">
        <v>867</v>
      </c>
      <c r="L561" s="56"/>
      <c r="M561" s="56"/>
      <c r="N561" s="98"/>
      <c r="O561" s="98"/>
      <c r="P561" s="98"/>
      <c r="Q561" s="98"/>
      <c r="R561" s="98"/>
    </row>
    <row r="562" spans="1:18" s="108" customFormat="1" ht="48" hidden="1">
      <c r="A562" s="98"/>
      <c r="B562" s="56" t="s">
        <v>806</v>
      </c>
      <c r="C562" s="98"/>
      <c r="D562" s="98"/>
      <c r="E562" s="98"/>
      <c r="F562" s="98"/>
      <c r="G562" s="98"/>
      <c r="H562" s="98"/>
      <c r="I562" s="280"/>
      <c r="J562" s="502"/>
      <c r="K562" s="504"/>
      <c r="L562" s="285" t="s">
        <v>36</v>
      </c>
      <c r="M562" s="285" t="s">
        <v>34</v>
      </c>
      <c r="N562" s="286">
        <v>0</v>
      </c>
      <c r="O562" s="286"/>
      <c r="P562" s="98"/>
      <c r="Q562" s="98"/>
      <c r="R562" s="98"/>
    </row>
    <row r="563" spans="1:18" s="108" customFormat="1" ht="60" hidden="1">
      <c r="A563" s="65" t="s">
        <v>662</v>
      </c>
      <c r="B563" s="467">
        <v>2339</v>
      </c>
      <c r="C563" s="65"/>
      <c r="D563" s="65"/>
      <c r="E563" s="65"/>
      <c r="F563" s="65"/>
      <c r="G563" s="65"/>
      <c r="H563" s="65"/>
      <c r="I563" s="491" t="s">
        <v>493</v>
      </c>
      <c r="J563" s="491" t="s">
        <v>67</v>
      </c>
      <c r="K563" s="469" t="s">
        <v>494</v>
      </c>
      <c r="L563" s="466" t="s">
        <v>42</v>
      </c>
      <c r="M563" s="466" t="s">
        <v>42</v>
      </c>
      <c r="N563" s="298">
        <v>0</v>
      </c>
      <c r="O563" s="298"/>
      <c r="P563" s="298">
        <v>0</v>
      </c>
      <c r="Q563" s="298"/>
      <c r="R563" s="298">
        <v>0</v>
      </c>
    </row>
    <row r="564" spans="1:18" s="108" customFormat="1" ht="106.5" customHeight="1">
      <c r="A564" s="65" t="s">
        <v>861</v>
      </c>
      <c r="B564" s="467" t="s">
        <v>895</v>
      </c>
      <c r="C564" s="65"/>
      <c r="D564" s="65"/>
      <c r="E564" s="65"/>
      <c r="F564" s="468" t="s">
        <v>987</v>
      </c>
      <c r="G564" s="468" t="s">
        <v>988</v>
      </c>
      <c r="H564" s="468" t="s">
        <v>989</v>
      </c>
      <c r="I564" s="491" t="s">
        <v>1402</v>
      </c>
      <c r="J564" s="491" t="s">
        <v>67</v>
      </c>
      <c r="K564" s="469" t="s">
        <v>1394</v>
      </c>
      <c r="L564" s="466" t="s">
        <v>36</v>
      </c>
      <c r="M564" s="466" t="s">
        <v>34</v>
      </c>
      <c r="N564" s="298">
        <v>43.8</v>
      </c>
      <c r="O564" s="298">
        <v>0</v>
      </c>
      <c r="P564" s="298">
        <v>115.163</v>
      </c>
      <c r="Q564" s="298">
        <v>0</v>
      </c>
      <c r="R564" s="298">
        <v>0</v>
      </c>
    </row>
    <row r="565" spans="1:18" s="107" customFormat="1" ht="83.25" hidden="1" customHeight="1">
      <c r="A565" s="52" t="s">
        <v>663</v>
      </c>
      <c r="B565" s="477" t="s">
        <v>664</v>
      </c>
      <c r="C565" s="42"/>
      <c r="D565" s="42"/>
      <c r="E565" s="42"/>
      <c r="F565" s="42"/>
      <c r="G565" s="42"/>
      <c r="H565" s="42"/>
      <c r="I565" s="430" t="s">
        <v>488</v>
      </c>
      <c r="J565" s="76" t="s">
        <v>67</v>
      </c>
      <c r="K565" s="76" t="s">
        <v>489</v>
      </c>
      <c r="L565" s="490" t="s">
        <v>31</v>
      </c>
      <c r="M565" s="490" t="s">
        <v>42</v>
      </c>
      <c r="N565" s="53">
        <v>0</v>
      </c>
      <c r="O565" s="53"/>
      <c r="P565" s="53">
        <v>0</v>
      </c>
      <c r="Q565" s="379"/>
      <c r="R565" s="161">
        <v>0</v>
      </c>
    </row>
    <row r="566" spans="1:18" s="107" customFormat="1" ht="74.25" hidden="1" customHeight="1">
      <c r="A566" s="65" t="s">
        <v>665</v>
      </c>
      <c r="B566" s="466" t="s">
        <v>862</v>
      </c>
      <c r="C566" s="468" t="s">
        <v>514</v>
      </c>
      <c r="D566" s="468" t="s">
        <v>516</v>
      </c>
      <c r="E566" s="468" t="s">
        <v>56</v>
      </c>
      <c r="F566" s="468"/>
      <c r="G566" s="468"/>
      <c r="H566" s="468"/>
      <c r="I566" s="167" t="s">
        <v>865</v>
      </c>
      <c r="J566" s="299" t="s">
        <v>67</v>
      </c>
      <c r="K566" s="299" t="s">
        <v>864</v>
      </c>
      <c r="L566" s="466" t="s">
        <v>36</v>
      </c>
      <c r="M566" s="466" t="s">
        <v>24</v>
      </c>
      <c r="N566" s="93">
        <v>0</v>
      </c>
      <c r="O566" s="93">
        <v>0</v>
      </c>
      <c r="P566" s="93">
        <v>0</v>
      </c>
      <c r="Q566" s="93">
        <v>0</v>
      </c>
      <c r="R566" s="93">
        <v>0</v>
      </c>
    </row>
    <row r="567" spans="1:18" s="107" customFormat="1" ht="84.75" customHeight="1">
      <c r="A567" s="434" t="s">
        <v>666</v>
      </c>
      <c r="B567" s="475" t="s">
        <v>667</v>
      </c>
      <c r="C567" s="31"/>
      <c r="D567" s="31"/>
      <c r="E567" s="31"/>
      <c r="F567" s="31"/>
      <c r="G567" s="31"/>
      <c r="H567" s="187"/>
      <c r="I567" s="188" t="s">
        <v>1157</v>
      </c>
      <c r="J567" s="488" t="s">
        <v>67</v>
      </c>
      <c r="K567" s="488" t="s">
        <v>301</v>
      </c>
      <c r="L567" s="467" t="s">
        <v>26</v>
      </c>
      <c r="M567" s="467" t="s">
        <v>40</v>
      </c>
      <c r="N567" s="371">
        <v>64237.56</v>
      </c>
      <c r="O567" s="371">
        <v>64237.56</v>
      </c>
      <c r="P567" s="35">
        <v>61888.800000000003</v>
      </c>
      <c r="Q567" s="383">
        <v>59526.8</v>
      </c>
      <c r="R567" s="158">
        <v>56845.8</v>
      </c>
    </row>
    <row r="568" spans="1:18" s="108" customFormat="1" ht="108.75" hidden="1" customHeight="1">
      <c r="A568" s="52" t="s">
        <v>5</v>
      </c>
      <c r="B568" s="477" t="s">
        <v>310</v>
      </c>
      <c r="C568" s="52" t="s">
        <v>30</v>
      </c>
      <c r="D568" s="52" t="s">
        <v>30</v>
      </c>
      <c r="E568" s="52" t="s">
        <v>30</v>
      </c>
      <c r="F568" s="52" t="s">
        <v>30</v>
      </c>
      <c r="G568" s="52" t="s">
        <v>30</v>
      </c>
      <c r="H568" s="52" t="s">
        <v>30</v>
      </c>
      <c r="I568" s="1" t="s">
        <v>311</v>
      </c>
      <c r="J568" s="1" t="s">
        <v>67</v>
      </c>
      <c r="K568" s="8" t="s">
        <v>308</v>
      </c>
      <c r="L568" s="477" t="s">
        <v>34</v>
      </c>
      <c r="M568" s="477" t="s">
        <v>35</v>
      </c>
      <c r="N568" s="52"/>
      <c r="O568" s="52"/>
      <c r="P568" s="52"/>
      <c r="Q568" s="47"/>
      <c r="R568" s="87"/>
    </row>
    <row r="569" spans="1:18" s="107" customFormat="1" ht="118.5" customHeight="1">
      <c r="A569" s="65" t="s">
        <v>1163</v>
      </c>
      <c r="B569" s="466" t="s">
        <v>1164</v>
      </c>
      <c r="C569" s="468"/>
      <c r="D569" s="468"/>
      <c r="E569" s="468"/>
      <c r="F569" s="468" t="s">
        <v>1165</v>
      </c>
      <c r="G569" s="468" t="s">
        <v>67</v>
      </c>
      <c r="H569" s="468" t="s">
        <v>1166</v>
      </c>
      <c r="I569" s="359" t="s">
        <v>1172</v>
      </c>
      <c r="J569" s="491"/>
      <c r="K569" s="491"/>
      <c r="L569" s="466" t="s">
        <v>31</v>
      </c>
      <c r="M569" s="466" t="s">
        <v>36</v>
      </c>
      <c r="N569" s="93">
        <v>150</v>
      </c>
      <c r="O569" s="93">
        <v>150</v>
      </c>
      <c r="P569" s="93">
        <v>0</v>
      </c>
      <c r="Q569" s="93">
        <v>0</v>
      </c>
      <c r="R569" s="93">
        <v>0</v>
      </c>
    </row>
    <row r="570" spans="1:18" s="107" customFormat="1" ht="23.25" customHeight="1">
      <c r="A570" s="45" t="s">
        <v>52</v>
      </c>
      <c r="B570" s="433" t="s">
        <v>53</v>
      </c>
      <c r="C570" s="433" t="s">
        <v>28</v>
      </c>
      <c r="D570" s="433" t="s">
        <v>28</v>
      </c>
      <c r="E570" s="433" t="s">
        <v>28</v>
      </c>
      <c r="F570" s="433" t="s">
        <v>28</v>
      </c>
      <c r="G570" s="433" t="s">
        <v>28</v>
      </c>
      <c r="H570" s="433" t="s">
        <v>28</v>
      </c>
      <c r="I570" s="433" t="s">
        <v>28</v>
      </c>
      <c r="J570" s="433" t="s">
        <v>28</v>
      </c>
      <c r="K570" s="433" t="s">
        <v>28</v>
      </c>
      <c r="L570" s="433"/>
      <c r="M570" s="433"/>
      <c r="N570" s="346">
        <f>N6</f>
        <v>1898077.675</v>
      </c>
      <c r="O570" s="346">
        <f>O6</f>
        <v>1871167.3744999999</v>
      </c>
      <c r="P570" s="346">
        <f t="shared" ref="P570:R570" si="82">P6</f>
        <v>2067100.7609999999</v>
      </c>
      <c r="Q570" s="346">
        <f t="shared" si="82"/>
        <v>1472023.5760000001</v>
      </c>
      <c r="R570" s="346">
        <f t="shared" si="82"/>
        <v>1497821.953</v>
      </c>
    </row>
  </sheetData>
  <mergeCells count="389">
    <mergeCell ref="A441:A442"/>
    <mergeCell ref="B441:B442"/>
    <mergeCell ref="K177:K178"/>
    <mergeCell ref="K266:K267"/>
    <mergeCell ref="I301:I308"/>
    <mergeCell ref="B376:B377"/>
    <mergeCell ref="A407:A408"/>
    <mergeCell ref="B407:B408"/>
    <mergeCell ref="C406:C409"/>
    <mergeCell ref="D406:D409"/>
    <mergeCell ref="E406:E409"/>
    <mergeCell ref="C331:C333"/>
    <mergeCell ref="A398:A400"/>
    <mergeCell ref="E393:E394"/>
    <mergeCell ref="K390:K392"/>
    <mergeCell ref="F188:F189"/>
    <mergeCell ref="G216:G217"/>
    <mergeCell ref="H220:H222"/>
    <mergeCell ref="E189:E191"/>
    <mergeCell ref="F216:F217"/>
    <mergeCell ref="G206:G207"/>
    <mergeCell ref="I177:I178"/>
    <mergeCell ref="I229:I230"/>
    <mergeCell ref="I218:I222"/>
    <mergeCell ref="K91:K92"/>
    <mergeCell ref="K67:K68"/>
    <mergeCell ref="I94:I95"/>
    <mergeCell ref="K96:K97"/>
    <mergeCell ref="I127:I128"/>
    <mergeCell ref="K121:K122"/>
    <mergeCell ref="I106:I107"/>
    <mergeCell ref="J106:J107"/>
    <mergeCell ref="J121:J122"/>
    <mergeCell ref="I91:I92"/>
    <mergeCell ref="J127:J128"/>
    <mergeCell ref="I109:I110"/>
    <mergeCell ref="I121:I122"/>
    <mergeCell ref="K94:K95"/>
    <mergeCell ref="A486:A490"/>
    <mergeCell ref="A295:A298"/>
    <mergeCell ref="H465:H466"/>
    <mergeCell ref="G418:G419"/>
    <mergeCell ref="F234:F236"/>
    <mergeCell ref="F331:F332"/>
    <mergeCell ref="F465:F466"/>
    <mergeCell ref="G465:G466"/>
    <mergeCell ref="G406:G409"/>
    <mergeCell ref="H402:H404"/>
    <mergeCell ref="C271:C272"/>
    <mergeCell ref="D402:D404"/>
    <mergeCell ref="D271:D272"/>
    <mergeCell ref="D293:D294"/>
    <mergeCell ref="C234:C236"/>
    <mergeCell ref="B301:B311"/>
    <mergeCell ref="A301:A311"/>
    <mergeCell ref="E301:E311"/>
    <mergeCell ref="B456:B457"/>
    <mergeCell ref="C456:C457"/>
    <mergeCell ref="D456:D457"/>
    <mergeCell ref="E456:E457"/>
    <mergeCell ref="A449:A450"/>
    <mergeCell ref="B449:B450"/>
    <mergeCell ref="L174:L175"/>
    <mergeCell ref="M153:M154"/>
    <mergeCell ref="L153:L154"/>
    <mergeCell ref="M182:M183"/>
    <mergeCell ref="L182:L183"/>
    <mergeCell ref="P153:P154"/>
    <mergeCell ref="N153:N154"/>
    <mergeCell ref="O153:O154"/>
    <mergeCell ref="Q153:Q154"/>
    <mergeCell ref="K550:K552"/>
    <mergeCell ref="G547:G548"/>
    <mergeCell ref="H547:H548"/>
    <mergeCell ref="K493:K495"/>
    <mergeCell ref="I493:I496"/>
    <mergeCell ref="I376:I377"/>
    <mergeCell ref="I223:I225"/>
    <mergeCell ref="F137:F138"/>
    <mergeCell ref="I547:I548"/>
    <mergeCell ref="K547:K548"/>
    <mergeCell ref="J547:J548"/>
    <mergeCell ref="I519:I520"/>
    <mergeCell ref="H519:H520"/>
    <mergeCell ref="J519:J520"/>
    <mergeCell ref="K519:K520"/>
    <mergeCell ref="H545:H546"/>
    <mergeCell ref="J266:J267"/>
    <mergeCell ref="J223:J225"/>
    <mergeCell ref="K223:K225"/>
    <mergeCell ref="F238:F240"/>
    <mergeCell ref="I252:I253"/>
    <mergeCell ref="K239:K240"/>
    <mergeCell ref="K271:K272"/>
    <mergeCell ref="G252:G254"/>
    <mergeCell ref="I556:I557"/>
    <mergeCell ref="J556:J557"/>
    <mergeCell ref="I553:I554"/>
    <mergeCell ref="J553:J554"/>
    <mergeCell ref="K553:K554"/>
    <mergeCell ref="R153:R154"/>
    <mergeCell ref="M174:M175"/>
    <mergeCell ref="L2:M3"/>
    <mergeCell ref="C475:C477"/>
    <mergeCell ref="D475:D477"/>
    <mergeCell ref="E475:E477"/>
    <mergeCell ref="F475:F477"/>
    <mergeCell ref="E545:E546"/>
    <mergeCell ref="F545:F546"/>
    <mergeCell ref="C545:C546"/>
    <mergeCell ref="D545:D546"/>
    <mergeCell ref="F40:F41"/>
    <mergeCell ref="H44:H45"/>
    <mergeCell ref="I271:I272"/>
    <mergeCell ref="J239:J240"/>
    <mergeCell ref="I390:I392"/>
    <mergeCell ref="J390:J392"/>
    <mergeCell ref="J177:J178"/>
    <mergeCell ref="J218:J219"/>
    <mergeCell ref="M479:M480"/>
    <mergeCell ref="K220:K222"/>
    <mergeCell ref="K218:K219"/>
    <mergeCell ref="F140:F141"/>
    <mergeCell ref="G118:G119"/>
    <mergeCell ref="H206:H207"/>
    <mergeCell ref="G140:G141"/>
    <mergeCell ref="F133:F134"/>
    <mergeCell ref="F206:F207"/>
    <mergeCell ref="F168:F171"/>
    <mergeCell ref="F185:F186"/>
    <mergeCell ref="F173:F175"/>
    <mergeCell ref="G133:G134"/>
    <mergeCell ref="H118:H119"/>
    <mergeCell ref="H173:H175"/>
    <mergeCell ref="G173:G175"/>
    <mergeCell ref="H140:H141"/>
    <mergeCell ref="F121:F122"/>
    <mergeCell ref="H133:H134"/>
    <mergeCell ref="G121:G122"/>
    <mergeCell ref="H121:H122"/>
    <mergeCell ref="L479:L480"/>
    <mergeCell ref="K143:K144"/>
    <mergeCell ref="K393:K394"/>
    <mergeCell ref="A9:A10"/>
    <mergeCell ref="A17:A18"/>
    <mergeCell ref="F56:F57"/>
    <mergeCell ref="G56:G57"/>
    <mergeCell ref="I69:I70"/>
    <mergeCell ref="J96:J97"/>
    <mergeCell ref="I67:I68"/>
    <mergeCell ref="J67:J68"/>
    <mergeCell ref="I96:I97"/>
    <mergeCell ref="J91:J92"/>
    <mergeCell ref="J94:J95"/>
    <mergeCell ref="G91:G92"/>
    <mergeCell ref="H91:H92"/>
    <mergeCell ref="I56:I57"/>
    <mergeCell ref="J56:J57"/>
    <mergeCell ref="I44:I45"/>
    <mergeCell ref="J44:J45"/>
    <mergeCell ref="A19:A20"/>
    <mergeCell ref="A12:A15"/>
    <mergeCell ref="K44:K45"/>
    <mergeCell ref="I62:I63"/>
    <mergeCell ref="H56:H57"/>
    <mergeCell ref="J62:J63"/>
    <mergeCell ref="B17:B18"/>
    <mergeCell ref="C37:C38"/>
    <mergeCell ref="K37:K38"/>
    <mergeCell ref="J37:J38"/>
    <mergeCell ref="H37:H38"/>
    <mergeCell ref="I37:I38"/>
    <mergeCell ref="E37:E38"/>
    <mergeCell ref="G37:G38"/>
    <mergeCell ref="F37:F38"/>
    <mergeCell ref="D29:D30"/>
    <mergeCell ref="C29:C30"/>
    <mergeCell ref="B19:B20"/>
    <mergeCell ref="E29:E30"/>
    <mergeCell ref="D37:D38"/>
    <mergeCell ref="K62:K63"/>
    <mergeCell ref="P3:P4"/>
    <mergeCell ref="A91:A92"/>
    <mergeCell ref="A2:A4"/>
    <mergeCell ref="I42:I43"/>
    <mergeCell ref="K60:K61"/>
    <mergeCell ref="B12:B15"/>
    <mergeCell ref="A1:R1"/>
    <mergeCell ref="C2:K2"/>
    <mergeCell ref="C3:E3"/>
    <mergeCell ref="I3:K3"/>
    <mergeCell ref="F3:H3"/>
    <mergeCell ref="I60:I61"/>
    <mergeCell ref="N2:R2"/>
    <mergeCell ref="J60:J61"/>
    <mergeCell ref="K56:K57"/>
    <mergeCell ref="Q3:Q4"/>
    <mergeCell ref="N3:O3"/>
    <mergeCell ref="A37:A38"/>
    <mergeCell ref="B37:B38"/>
    <mergeCell ref="B52:B54"/>
    <mergeCell ref="B2:B4"/>
    <mergeCell ref="F29:F30"/>
    <mergeCell ref="B9:B10"/>
    <mergeCell ref="A56:A57"/>
    <mergeCell ref="A118:A119"/>
    <mergeCell ref="B118:B119"/>
    <mergeCell ref="F44:F45"/>
    <mergeCell ref="F118:F119"/>
    <mergeCell ref="A62:A63"/>
    <mergeCell ref="A60:A61"/>
    <mergeCell ref="A94:A95"/>
    <mergeCell ref="A96:A97"/>
    <mergeCell ref="F91:F92"/>
    <mergeCell ref="A52:A54"/>
    <mergeCell ref="A87:A89"/>
    <mergeCell ref="A69:A70"/>
    <mergeCell ref="A109:A110"/>
    <mergeCell ref="A556:A557"/>
    <mergeCell ref="A402:A404"/>
    <mergeCell ref="A465:A466"/>
    <mergeCell ref="B87:B89"/>
    <mergeCell ref="A516:A517"/>
    <mergeCell ref="B516:B517"/>
    <mergeCell ref="A478:A479"/>
    <mergeCell ref="E418:E419"/>
    <mergeCell ref="A364:A365"/>
    <mergeCell ref="C402:C404"/>
    <mergeCell ref="D418:D419"/>
    <mergeCell ref="C418:C419"/>
    <mergeCell ref="D393:D394"/>
    <mergeCell ref="C393:C394"/>
    <mergeCell ref="A393:A395"/>
    <mergeCell ref="A378:A379"/>
    <mergeCell ref="A203:A204"/>
    <mergeCell ref="A168:A171"/>
    <mergeCell ref="D189:D191"/>
    <mergeCell ref="A135:A136"/>
    <mergeCell ref="A137:A138"/>
    <mergeCell ref="C121:C122"/>
    <mergeCell ref="A151:A152"/>
    <mergeCell ref="C151:C152"/>
    <mergeCell ref="B135:B136"/>
    <mergeCell ref="A139:A141"/>
    <mergeCell ref="B140:B141"/>
    <mergeCell ref="A121:A122"/>
    <mergeCell ref="C140:C141"/>
    <mergeCell ref="E140:E141"/>
    <mergeCell ref="E173:E175"/>
    <mergeCell ref="D140:D141"/>
    <mergeCell ref="D151:D152"/>
    <mergeCell ref="C173:C175"/>
    <mergeCell ref="D173:D175"/>
    <mergeCell ref="E121:E122"/>
    <mergeCell ref="D121:D122"/>
    <mergeCell ref="C479:C480"/>
    <mergeCell ref="D479:D480"/>
    <mergeCell ref="E479:E480"/>
    <mergeCell ref="F479:F480"/>
    <mergeCell ref="G479:G480"/>
    <mergeCell ref="H479:H480"/>
    <mergeCell ref="K402:K404"/>
    <mergeCell ref="H418:H419"/>
    <mergeCell ref="G402:G404"/>
    <mergeCell ref="F416:F417"/>
    <mergeCell ref="K479:K480"/>
    <mergeCell ref="H406:H409"/>
    <mergeCell ref="I479:I480"/>
    <mergeCell ref="J479:J480"/>
    <mergeCell ref="F418:F419"/>
    <mergeCell ref="J418:J419"/>
    <mergeCell ref="J402:J404"/>
    <mergeCell ref="I402:I404"/>
    <mergeCell ref="F402:F404"/>
    <mergeCell ref="G475:G477"/>
    <mergeCell ref="H475:H477"/>
    <mergeCell ref="K418:K419"/>
    <mergeCell ref="I418:I419"/>
    <mergeCell ref="D449:D450"/>
    <mergeCell ref="C376:C377"/>
    <mergeCell ref="D376:D377"/>
    <mergeCell ref="F329:F330"/>
    <mergeCell ref="C449:C450"/>
    <mergeCell ref="E376:E377"/>
    <mergeCell ref="J376:J377"/>
    <mergeCell ref="K376:K377"/>
    <mergeCell ref="E449:E450"/>
    <mergeCell ref="F449:F450"/>
    <mergeCell ref="G449:G450"/>
    <mergeCell ref="H449:H450"/>
    <mergeCell ref="F406:F409"/>
    <mergeCell ref="E402:E404"/>
    <mergeCell ref="I393:I394"/>
    <mergeCell ref="J393:J394"/>
    <mergeCell ref="K309:K311"/>
    <mergeCell ref="A456:A457"/>
    <mergeCell ref="I266:I267"/>
    <mergeCell ref="C301:C311"/>
    <mergeCell ref="D301:D311"/>
    <mergeCell ref="F519:F520"/>
    <mergeCell ref="G519:G520"/>
    <mergeCell ref="C519:C520"/>
    <mergeCell ref="D519:D520"/>
    <mergeCell ref="E519:E520"/>
    <mergeCell ref="J301:J308"/>
    <mergeCell ref="F376:F377"/>
    <mergeCell ref="F322:F323"/>
    <mergeCell ref="H271:H272"/>
    <mergeCell ref="H493:H496"/>
    <mergeCell ref="F493:F496"/>
    <mergeCell ref="C266:C267"/>
    <mergeCell ref="F456:F457"/>
    <mergeCell ref="J271:J272"/>
    <mergeCell ref="A493:A496"/>
    <mergeCell ref="A498:A500"/>
    <mergeCell ref="G493:G496"/>
    <mergeCell ref="E493:E496"/>
    <mergeCell ref="E271:E272"/>
    <mergeCell ref="K301:K308"/>
    <mergeCell ref="A299:A300"/>
    <mergeCell ref="A286:A287"/>
    <mergeCell ref="B286:B287"/>
    <mergeCell ref="I216:I217"/>
    <mergeCell ref="H218:H219"/>
    <mergeCell ref="F218:F219"/>
    <mergeCell ref="F220:F222"/>
    <mergeCell ref="C293:C294"/>
    <mergeCell ref="C238:C240"/>
    <mergeCell ref="E238:E239"/>
    <mergeCell ref="G220:G222"/>
    <mergeCell ref="F252:F254"/>
    <mergeCell ref="F293:F294"/>
    <mergeCell ref="G238:G240"/>
    <mergeCell ref="H238:H240"/>
    <mergeCell ref="A228:A231"/>
    <mergeCell ref="D238:D239"/>
    <mergeCell ref="H252:H254"/>
    <mergeCell ref="H216:H217"/>
    <mergeCell ref="E266:E267"/>
    <mergeCell ref="E293:E294"/>
    <mergeCell ref="I239:I241"/>
    <mergeCell ref="A232:A237"/>
    <mergeCell ref="F553:F554"/>
    <mergeCell ref="G553:G554"/>
    <mergeCell ref="H553:H554"/>
    <mergeCell ref="C553:C554"/>
    <mergeCell ref="D553:D554"/>
    <mergeCell ref="E553:E554"/>
    <mergeCell ref="J220:J222"/>
    <mergeCell ref="I146:I147"/>
    <mergeCell ref="A212:A213"/>
    <mergeCell ref="A176:A178"/>
    <mergeCell ref="C189:C191"/>
    <mergeCell ref="G218:G219"/>
    <mergeCell ref="J309:J311"/>
    <mergeCell ref="E151:E152"/>
    <mergeCell ref="A537:A538"/>
    <mergeCell ref="I309:I311"/>
    <mergeCell ref="F244:F245"/>
    <mergeCell ref="A173:A175"/>
    <mergeCell ref="D493:D496"/>
    <mergeCell ref="C493:C496"/>
    <mergeCell ref="G376:G377"/>
    <mergeCell ref="H393:H394"/>
    <mergeCell ref="F393:F395"/>
    <mergeCell ref="D331:D332"/>
    <mergeCell ref="I143:I144"/>
    <mergeCell ref="J143:J144"/>
    <mergeCell ref="J493:J495"/>
    <mergeCell ref="D266:D267"/>
    <mergeCell ref="F547:F548"/>
    <mergeCell ref="G545:G546"/>
    <mergeCell ref="I550:I552"/>
    <mergeCell ref="J550:J552"/>
    <mergeCell ref="H331:H332"/>
    <mergeCell ref="H376:H377"/>
    <mergeCell ref="G266:G267"/>
    <mergeCell ref="G271:G272"/>
    <mergeCell ref="H266:H267"/>
    <mergeCell ref="F301:F311"/>
    <mergeCell ref="H301:H311"/>
    <mergeCell ref="G301:G311"/>
    <mergeCell ref="E331:E332"/>
    <mergeCell ref="G393:G394"/>
    <mergeCell ref="G331:G332"/>
    <mergeCell ref="F266:F267"/>
    <mergeCell ref="F271:F272"/>
    <mergeCell ref="G456:G457"/>
    <mergeCell ref="H456:H457"/>
  </mergeCells>
  <phoneticPr fontId="0" type="noConversion"/>
  <pageMargins left="0.15748031496062992" right="0" top="1.0236220472440944" bottom="0.6692913385826772" header="0.39370078740157483" footer="0.39370078740157483"/>
  <pageSetup paperSize="9" scale="61" orientation="landscape" r:id="rId1"/>
  <headerFooter alignWithMargins="0">
    <oddFooter>&amp;L&amp;C&amp;"Arial"&amp;10&amp;P &amp;R</oddFooter>
  </headerFooter>
</worksheet>
</file>

<file path=xl/worksheets/sheet2.xml><?xml version="1.0" encoding="utf-8"?>
<worksheet xmlns="http://schemas.openxmlformats.org/spreadsheetml/2006/main" xmlns:r="http://schemas.openxmlformats.org/officeDocument/2006/relationships">
  <dimension ref="A2:FA44"/>
  <sheetViews>
    <sheetView zoomScaleNormal="100" workbookViewId="0">
      <pane xSplit="1" ySplit="2" topLeftCell="BJ15" activePane="bottomRight" state="frozen"/>
      <selection pane="topRight" activeCell="B1" sqref="B1"/>
      <selection pane="bottomLeft" activeCell="A3" sqref="A3"/>
      <selection pane="bottomRight" activeCell="FB1" sqref="FB1:FC1048576"/>
    </sheetView>
  </sheetViews>
  <sheetFormatPr defaultRowHeight="12.75"/>
  <cols>
    <col min="1" max="1" width="6" style="123" customWidth="1"/>
    <col min="2" max="3" width="8.85546875" style="124" customWidth="1"/>
    <col min="4" max="4" width="6.7109375" style="124" customWidth="1"/>
    <col min="5" max="5" width="4.7109375" style="124" customWidth="1"/>
    <col min="6" max="7" width="7.28515625" style="124" customWidth="1"/>
    <col min="8" max="9" width="7.140625" style="124" customWidth="1"/>
    <col min="10" max="13" width="7.5703125" style="124" customWidth="1"/>
    <col min="14" max="15" width="9.7109375" style="124" customWidth="1"/>
    <col min="16" max="17" width="8.85546875" style="124" customWidth="1"/>
    <col min="18" max="19" width="8.28515625" style="124" customWidth="1"/>
    <col min="20" max="21" width="8.140625" style="124" customWidth="1"/>
    <col min="22" max="23" width="7.7109375" style="124" hidden="1" customWidth="1"/>
    <col min="24" max="25" width="6" style="124" customWidth="1"/>
    <col min="26" max="26" width="7.42578125" style="124" customWidth="1"/>
    <col min="27" max="27" width="8.85546875" style="124" customWidth="1"/>
    <col min="28" max="29" width="7.85546875" style="124" customWidth="1"/>
    <col min="30" max="33" width="8.28515625" style="124" customWidth="1"/>
    <col min="34" max="37" width="6.28515625" style="124" customWidth="1"/>
    <col min="38" max="39" width="7.5703125" style="124" customWidth="1"/>
    <col min="40" max="41" width="7.7109375" style="124" customWidth="1"/>
    <col min="42" max="43" width="8.42578125" style="124" customWidth="1"/>
    <col min="44" max="45" width="6.7109375" style="124" hidden="1" customWidth="1"/>
    <col min="46" max="47" width="6.7109375" style="124" customWidth="1"/>
    <col min="48" max="51" width="8.7109375" style="124" customWidth="1"/>
    <col min="52" max="53" width="8.140625" style="33" customWidth="1"/>
    <col min="54" max="55" width="8.7109375" style="33" customWidth="1"/>
    <col min="56" max="57" width="8.5703125" style="33" customWidth="1"/>
    <col min="58" max="61" width="8.140625" style="33" customWidth="1"/>
    <col min="62" max="63" width="6.140625" style="33" customWidth="1"/>
    <col min="64" max="65" width="6.28515625" style="33" customWidth="1"/>
    <col min="66" max="67" width="8.42578125" style="33" customWidth="1"/>
    <col min="68" max="69" width="7.7109375" style="33" customWidth="1"/>
    <col min="70" max="73" width="7.42578125" style="33" customWidth="1"/>
    <col min="74" max="74" width="9.5703125" style="33" customWidth="1"/>
    <col min="75" max="75" width="9.42578125" style="33" customWidth="1"/>
    <col min="76" max="77" width="7.140625" style="33" customWidth="1"/>
    <col min="78" max="79" width="7.42578125" style="33" customWidth="1"/>
    <col min="80" max="81" width="7.28515625" style="33" customWidth="1"/>
    <col min="82" max="83" width="6.140625" style="33" hidden="1" customWidth="1"/>
    <col min="84" max="85" width="6.85546875" style="33" customWidth="1"/>
    <col min="86" max="87" width="6.140625" style="33" hidden="1" customWidth="1"/>
    <col min="88" max="88" width="7.42578125" style="33" hidden="1" customWidth="1"/>
    <col min="89" max="89" width="6.28515625" style="33" hidden="1" customWidth="1"/>
    <col min="90" max="91" width="7.5703125" style="33" hidden="1" customWidth="1"/>
    <col min="92" max="97" width="7.42578125" style="33" hidden="1" customWidth="1"/>
    <col min="98" max="98" width="7.28515625" style="33" hidden="1" customWidth="1"/>
    <col min="99" max="99" width="6.7109375" style="33" hidden="1" customWidth="1"/>
    <col min="100" max="101" width="9" style="33" hidden="1" customWidth="1"/>
    <col min="102" max="103" width="7.5703125" style="33" hidden="1" customWidth="1"/>
    <col min="104" max="105" width="9.140625" style="33" hidden="1" customWidth="1"/>
    <col min="106" max="107" width="11.28515625" style="33" hidden="1" customWidth="1"/>
    <col min="108" max="109" width="8.85546875" style="33" hidden="1" customWidth="1"/>
    <col min="110" max="111" width="8" style="33" hidden="1" customWidth="1"/>
    <col min="112" max="113" width="8.42578125" style="33" hidden="1" customWidth="1"/>
    <col min="114" max="115" width="5.85546875" style="33" hidden="1" customWidth="1"/>
    <col min="116" max="117" width="9.5703125" style="33" hidden="1" customWidth="1"/>
    <col min="118" max="119" width="8.42578125" style="33" hidden="1" customWidth="1"/>
    <col min="120" max="121" width="6.7109375" style="33" hidden="1" customWidth="1"/>
    <col min="122" max="122" width="9.42578125" style="33" hidden="1" customWidth="1"/>
    <col min="123" max="123" width="9.140625" style="33" hidden="1" customWidth="1"/>
    <col min="124" max="125" width="6.5703125" style="33" hidden="1" customWidth="1"/>
    <col min="126" max="127" width="7.5703125" style="33" hidden="1" customWidth="1"/>
    <col min="128" max="128" width="8.85546875" style="33" hidden="1" customWidth="1"/>
    <col min="129" max="129" width="9.7109375" style="33" hidden="1" customWidth="1"/>
    <col min="130" max="133" width="8.7109375" style="33" hidden="1" customWidth="1"/>
    <col min="134" max="135" width="7.85546875" style="33" hidden="1" customWidth="1"/>
    <col min="136" max="137" width="7.28515625" style="33" hidden="1" customWidth="1"/>
    <col min="138" max="138" width="8.42578125" style="33" hidden="1" customWidth="1"/>
    <col min="139" max="139" width="8.28515625" style="33" hidden="1" customWidth="1"/>
    <col min="140" max="145" width="8.85546875" style="33" hidden="1" customWidth="1"/>
    <col min="146" max="151" width="6" style="33" hidden="1" customWidth="1"/>
    <col min="152" max="153" width="9" style="33" hidden="1" customWidth="1"/>
    <col min="154" max="155" width="9.28515625" style="33" hidden="1" customWidth="1"/>
    <col min="156" max="157" width="12" style="33" customWidth="1"/>
    <col min="158" max="16384" width="9.140625" style="33"/>
  </cols>
  <sheetData>
    <row r="2" spans="1:157" s="120" customFormat="1">
      <c r="A2" s="119"/>
      <c r="B2" s="665" t="s">
        <v>33</v>
      </c>
      <c r="C2" s="666"/>
      <c r="D2" s="665" t="s">
        <v>384</v>
      </c>
      <c r="E2" s="666"/>
      <c r="F2" s="665" t="s">
        <v>38</v>
      </c>
      <c r="G2" s="666"/>
      <c r="H2" s="665" t="s">
        <v>570</v>
      </c>
      <c r="I2" s="666"/>
      <c r="J2" s="665" t="s">
        <v>379</v>
      </c>
      <c r="K2" s="666"/>
      <c r="L2" s="665" t="s">
        <v>41</v>
      </c>
      <c r="M2" s="666"/>
      <c r="N2" s="665" t="s">
        <v>704</v>
      </c>
      <c r="O2" s="666"/>
      <c r="P2" s="665" t="s">
        <v>377</v>
      </c>
      <c r="Q2" s="666"/>
      <c r="R2" s="665" t="s">
        <v>543</v>
      </c>
      <c r="S2" s="666"/>
      <c r="T2" s="665" t="s">
        <v>580</v>
      </c>
      <c r="U2" s="666"/>
      <c r="V2" s="665" t="s">
        <v>549</v>
      </c>
      <c r="W2" s="666"/>
      <c r="X2" s="665" t="s">
        <v>43</v>
      </c>
      <c r="Y2" s="666"/>
      <c r="Z2" s="665" t="s">
        <v>550</v>
      </c>
      <c r="AA2" s="666"/>
      <c r="AB2" s="665" t="s">
        <v>697</v>
      </c>
      <c r="AC2" s="666"/>
      <c r="AD2" s="665" t="s">
        <v>542</v>
      </c>
      <c r="AE2" s="666"/>
      <c r="AF2" s="665" t="s">
        <v>863</v>
      </c>
      <c r="AG2" s="666"/>
      <c r="AH2" s="665" t="s">
        <v>702</v>
      </c>
      <c r="AI2" s="666"/>
      <c r="AJ2" s="665" t="s">
        <v>703</v>
      </c>
      <c r="AK2" s="666"/>
      <c r="AL2" s="665" t="s">
        <v>591</v>
      </c>
      <c r="AM2" s="666"/>
      <c r="AN2" s="665" t="s">
        <v>595</v>
      </c>
      <c r="AO2" s="666"/>
      <c r="AP2" s="665" t="s">
        <v>707</v>
      </c>
      <c r="AQ2" s="666"/>
      <c r="AR2" s="665" t="s">
        <v>44</v>
      </c>
      <c r="AS2" s="666"/>
      <c r="AT2" s="665" t="s">
        <v>1075</v>
      </c>
      <c r="AU2" s="666"/>
      <c r="AV2" s="665" t="s">
        <v>705</v>
      </c>
      <c r="AW2" s="666"/>
      <c r="AX2" s="665" t="s">
        <v>914</v>
      </c>
      <c r="AY2" s="666"/>
      <c r="AZ2" s="665" t="s">
        <v>47</v>
      </c>
      <c r="BA2" s="666"/>
      <c r="BB2" s="665" t="s">
        <v>706</v>
      </c>
      <c r="BC2" s="666"/>
      <c r="BD2" s="665" t="s">
        <v>694</v>
      </c>
      <c r="BE2" s="666"/>
      <c r="BF2" s="665" t="s">
        <v>539</v>
      </c>
      <c r="BG2" s="666"/>
      <c r="BH2" s="665" t="s">
        <v>544</v>
      </c>
      <c r="BI2" s="666"/>
      <c r="BJ2" s="665" t="s">
        <v>731</v>
      </c>
      <c r="BK2" s="666"/>
      <c r="BL2" s="665" t="s">
        <v>540</v>
      </c>
      <c r="BM2" s="666"/>
      <c r="BN2" s="665" t="s">
        <v>698</v>
      </c>
      <c r="BO2" s="666"/>
      <c r="BP2" s="665" t="s">
        <v>695</v>
      </c>
      <c r="BQ2" s="666"/>
      <c r="BR2" s="665" t="s">
        <v>882</v>
      </c>
      <c r="BS2" s="666"/>
      <c r="BT2" s="665" t="s">
        <v>693</v>
      </c>
      <c r="BU2" s="666"/>
      <c r="BV2" s="665" t="s">
        <v>1021</v>
      </c>
      <c r="BW2" s="666"/>
      <c r="BX2" s="665" t="s">
        <v>541</v>
      </c>
      <c r="BY2" s="666"/>
      <c r="BZ2" s="665" t="s">
        <v>51</v>
      </c>
      <c r="CA2" s="666"/>
      <c r="CB2" s="665" t="s">
        <v>699</v>
      </c>
      <c r="CC2" s="666"/>
      <c r="CD2" s="665" t="s">
        <v>700</v>
      </c>
      <c r="CE2" s="666"/>
      <c r="CF2" s="665" t="s">
        <v>701</v>
      </c>
      <c r="CG2" s="666"/>
      <c r="CH2" s="665" t="s">
        <v>709</v>
      </c>
      <c r="CI2" s="666"/>
      <c r="CJ2" s="665" t="s">
        <v>717</v>
      </c>
      <c r="CK2" s="666"/>
      <c r="CL2" s="665" t="s">
        <v>712</v>
      </c>
      <c r="CM2" s="666"/>
      <c r="CN2" s="665" t="s">
        <v>551</v>
      </c>
      <c r="CO2" s="666"/>
      <c r="CP2" s="665" t="s">
        <v>708</v>
      </c>
      <c r="CQ2" s="666"/>
      <c r="CR2" s="665" t="s">
        <v>710</v>
      </c>
      <c r="CS2" s="666"/>
      <c r="CT2" s="665" t="s">
        <v>713</v>
      </c>
      <c r="CU2" s="666"/>
      <c r="CV2" s="665" t="s">
        <v>716</v>
      </c>
      <c r="CW2" s="666"/>
      <c r="CX2" s="665" t="s">
        <v>711</v>
      </c>
      <c r="CY2" s="666"/>
      <c r="CZ2" s="665" t="s">
        <v>715</v>
      </c>
      <c r="DA2" s="666"/>
      <c r="DB2" s="665" t="s">
        <v>714</v>
      </c>
      <c r="DC2" s="666"/>
      <c r="DD2" s="665" t="s">
        <v>730</v>
      </c>
      <c r="DE2" s="666"/>
      <c r="DF2" s="665" t="s">
        <v>719</v>
      </c>
      <c r="DG2" s="666"/>
      <c r="DH2" s="665" t="s">
        <v>727</v>
      </c>
      <c r="DI2" s="666"/>
      <c r="DJ2" s="665" t="s">
        <v>718</v>
      </c>
      <c r="DK2" s="666"/>
      <c r="DL2" s="665" t="s">
        <v>725</v>
      </c>
      <c r="DM2" s="666"/>
      <c r="DN2" s="665" t="s">
        <v>722</v>
      </c>
      <c r="DO2" s="666"/>
      <c r="DP2" s="665" t="s">
        <v>642</v>
      </c>
      <c r="DQ2" s="666"/>
      <c r="DR2" s="665" t="s">
        <v>643</v>
      </c>
      <c r="DS2" s="666"/>
      <c r="DT2" s="665" t="s">
        <v>645</v>
      </c>
      <c r="DU2" s="666"/>
      <c r="DV2" s="665" t="s">
        <v>720</v>
      </c>
      <c r="DW2" s="666"/>
      <c r="DX2" s="665" t="s">
        <v>723</v>
      </c>
      <c r="DY2" s="666"/>
      <c r="DZ2" s="665" t="s">
        <v>826</v>
      </c>
      <c r="EA2" s="666"/>
      <c r="EB2" s="665" t="s">
        <v>844</v>
      </c>
      <c r="EC2" s="666"/>
      <c r="ED2" s="665" t="s">
        <v>729</v>
      </c>
      <c r="EE2" s="666"/>
      <c r="EF2" s="665" t="s">
        <v>652</v>
      </c>
      <c r="EG2" s="666"/>
      <c r="EH2" s="665" t="s">
        <v>885</v>
      </c>
      <c r="EI2" s="666"/>
      <c r="EJ2" s="665" t="s">
        <v>726</v>
      </c>
      <c r="EK2" s="666"/>
      <c r="EL2" s="665" t="s">
        <v>803</v>
      </c>
      <c r="EM2" s="666"/>
      <c r="EN2" s="665" t="s">
        <v>836</v>
      </c>
      <c r="EO2" s="666"/>
      <c r="EP2" s="665" t="s">
        <v>721</v>
      </c>
      <c r="EQ2" s="666"/>
      <c r="ER2" s="665" t="s">
        <v>883</v>
      </c>
      <c r="ES2" s="666"/>
      <c r="ET2" s="665" t="s">
        <v>884</v>
      </c>
      <c r="EU2" s="666"/>
      <c r="EV2" s="665" t="s">
        <v>667</v>
      </c>
      <c r="EW2" s="666"/>
      <c r="EX2" s="665" t="s">
        <v>728</v>
      </c>
      <c r="EY2" s="666"/>
      <c r="EZ2" s="667" t="s">
        <v>397</v>
      </c>
      <c r="FA2" s="667"/>
    </row>
    <row r="3" spans="1:157">
      <c r="A3" s="121" t="s">
        <v>370</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v>546.77099999999996</v>
      </c>
      <c r="BG3" s="32">
        <v>546.77200000000005</v>
      </c>
      <c r="BH3" s="32">
        <v>2394.6999999999998</v>
      </c>
      <c r="BI3" s="32">
        <v>2391.73</v>
      </c>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61">
        <f t="shared" ref="EZ3:EZ14" si="0">B3+D3+F3+H3+J3+L3+N3+P3+R3+T3+V3+X3+Z3+AB3+AD3+AF3+AH3+AJ3+AL3+AN3+AP3+AR3+AV3+AX3+AZ3+BB3+BD3+BF3+BH3+BJ3+BL3+BN3+BP3+BR3+BT3+BV3+BX3+BZ3+CB3+CD3+CF3+CH3+CJ3+CL3+CN3+CP3+CR3+CT3+CV3+CX3+CZ3+DB3+DD3+DF3+DH3+DJ3+DL3+DN3+DP3+DR3+DT3+DV3+DX3+ED3+EF3+EJ3+EP3+EV3+EX3</f>
        <v>2941.4709999999995</v>
      </c>
      <c r="FA3" s="361">
        <f t="shared" ref="FA3:FA14" si="1">C3+E3+G3+I3+K3+M3+O3+Q3+S3+U3+W3+Y3+AA3+AC3+AE3+AG3+AI3+AK3+AM3+AO3+AQ3+AS3+AW3+AY3+BA3+BC3+BE3+BG3+BI3+BK3+BM3+BO3+BQ3+BS3+BU3+BW3+BY3+CA3+CC3+CE3+CG3+CI3+CK3+CM3+CO3+CQ3+CS3+CU3+CW3+CY3+DA3+DC3+DE3+DG3+DI3+DK3+DM3+DO3+DQ3+DS3+DU3+DW3+DY3+EE3+EG3+EK3+EQ3+EW3+EY3</f>
        <v>2938.502</v>
      </c>
    </row>
    <row r="4" spans="1:157">
      <c r="A4" s="121" t="s">
        <v>371</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f>1138.89+150+371.214</f>
        <v>1660.104</v>
      </c>
      <c r="BG4" s="32">
        <f>976.385+144.576+371.214</f>
        <v>1492.175</v>
      </c>
      <c r="BH4" s="32">
        <v>1266.8720000000001</v>
      </c>
      <c r="BI4" s="32">
        <v>1266.8720000000001</v>
      </c>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61">
        <f t="shared" si="0"/>
        <v>2926.9760000000001</v>
      </c>
      <c r="FA4" s="361">
        <f t="shared" si="1"/>
        <v>2759.047</v>
      </c>
    </row>
    <row r="5" spans="1:157">
      <c r="A5" s="121" t="s">
        <v>372</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f>24685.75+242.773</f>
        <v>24928.523000000001</v>
      </c>
      <c r="BG5" s="32">
        <f>22959.898+242.773</f>
        <v>23202.671000000002</v>
      </c>
      <c r="BH5" s="32">
        <v>32908.947</v>
      </c>
      <c r="BI5" s="32">
        <v>32820.737000000001</v>
      </c>
      <c r="BJ5" s="32"/>
      <c r="BK5" s="32"/>
      <c r="BL5" s="32">
        <f>910</f>
        <v>910</v>
      </c>
      <c r="BM5" s="32">
        <v>910</v>
      </c>
      <c r="BN5" s="32"/>
      <c r="BO5" s="32"/>
      <c r="BP5" s="32"/>
      <c r="BQ5" s="32"/>
      <c r="BR5" s="32"/>
      <c r="BS5" s="32"/>
      <c r="BT5" s="32">
        <v>120.371</v>
      </c>
      <c r="BU5" s="32">
        <v>120.371</v>
      </c>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61">
        <f t="shared" si="0"/>
        <v>58867.841</v>
      </c>
      <c r="FA5" s="361">
        <f t="shared" si="1"/>
        <v>57053.779000000002</v>
      </c>
    </row>
    <row r="6" spans="1:157">
      <c r="A6" s="121" t="s">
        <v>433</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189">
        <f t="shared" si="0"/>
        <v>0</v>
      </c>
      <c r="FA6" s="189">
        <f t="shared" si="1"/>
        <v>0</v>
      </c>
    </row>
    <row r="7" spans="1:157">
      <c r="A7" s="121" t="s">
        <v>373</v>
      </c>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f>5796.734+278.057</f>
        <v>6074.7910000000002</v>
      </c>
      <c r="BG7" s="32">
        <f>5680.514+275.364</f>
        <v>5955.8779999999997</v>
      </c>
      <c r="BH7" s="32">
        <f>14443.548+929.341</f>
        <v>15372.889000000001</v>
      </c>
      <c r="BI7" s="32">
        <f>14385.105+921.607</f>
        <v>15306.712</v>
      </c>
      <c r="BJ7" s="32"/>
      <c r="BK7" s="32"/>
      <c r="BL7" s="32"/>
      <c r="BM7" s="32"/>
      <c r="BN7" s="32"/>
      <c r="BO7" s="32"/>
      <c r="BP7" s="32"/>
      <c r="BQ7" s="32"/>
      <c r="BR7" s="32"/>
      <c r="BS7" s="32"/>
      <c r="BT7" s="32">
        <v>86.926000000000002</v>
      </c>
      <c r="BU7" s="32">
        <v>86.926000000000002</v>
      </c>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61">
        <f t="shared" si="0"/>
        <v>21534.606</v>
      </c>
      <c r="FA7" s="361">
        <f t="shared" si="1"/>
        <v>21349.516</v>
      </c>
    </row>
    <row r="8" spans="1:157">
      <c r="A8" s="121" t="s">
        <v>440</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v>3040.1439999999998</v>
      </c>
      <c r="BQ8" s="32">
        <v>3040.1439999999998</v>
      </c>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61">
        <f t="shared" si="0"/>
        <v>3040.1439999999998</v>
      </c>
      <c r="FA8" s="361">
        <f t="shared" si="1"/>
        <v>3040.1439999999998</v>
      </c>
    </row>
    <row r="9" spans="1:157">
      <c r="A9" s="121" t="s">
        <v>374</v>
      </c>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189">
        <f t="shared" si="0"/>
        <v>0</v>
      </c>
      <c r="FA9" s="189">
        <f t="shared" si="1"/>
        <v>0</v>
      </c>
    </row>
    <row r="10" spans="1:157">
      <c r="A10" s="121" t="s">
        <v>375</v>
      </c>
      <c r="B10" s="32">
        <f>3445.266+331.144+329.974</f>
        <v>4106.384</v>
      </c>
      <c r="C10" s="32">
        <f>3244.418+267.227+329.974</f>
        <v>3841.6190000000001</v>
      </c>
      <c r="D10" s="32"/>
      <c r="E10" s="32"/>
      <c r="F10" s="32"/>
      <c r="G10" s="32"/>
      <c r="H10" s="32"/>
      <c r="I10" s="32"/>
      <c r="J10" s="32"/>
      <c r="K10" s="32"/>
      <c r="L10" s="32"/>
      <c r="M10" s="32"/>
      <c r="N10" s="32"/>
      <c r="O10" s="32"/>
      <c r="P10" s="32"/>
      <c r="Q10" s="32"/>
      <c r="R10" s="32"/>
      <c r="S10" s="32"/>
      <c r="T10" s="32"/>
      <c r="U10" s="32"/>
      <c r="V10" s="32"/>
      <c r="W10" s="32"/>
      <c r="X10" s="32"/>
      <c r="Y10" s="32"/>
      <c r="Z10" s="32"/>
      <c r="AA10" s="32"/>
      <c r="AB10" s="32">
        <f>2519.552-25.307</f>
        <v>2494.2450000000003</v>
      </c>
      <c r="AC10" s="32">
        <f>2512.478-25.307</f>
        <v>2487.1710000000003</v>
      </c>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f>3043.978+9228.52</f>
        <v>12272.498</v>
      </c>
      <c r="BO10" s="32">
        <f>2941.299+9227.985</f>
        <v>12169.284</v>
      </c>
      <c r="BP10" s="32">
        <v>203.67099999999999</v>
      </c>
      <c r="BQ10" s="32">
        <v>203.67099999999999</v>
      </c>
      <c r="BR10" s="32"/>
      <c r="BS10" s="32"/>
      <c r="BT10" s="32">
        <f>70.314+25.307</f>
        <v>95.620999999999995</v>
      </c>
      <c r="BU10" s="32">
        <f>70.314+25.307</f>
        <v>95.620999999999995</v>
      </c>
      <c r="BV10" s="32">
        <f>109.193+15</f>
        <v>124.193</v>
      </c>
      <c r="BW10" s="32">
        <f>109.193+3</f>
        <v>112.193</v>
      </c>
      <c r="BX10" s="32"/>
      <c r="BY10" s="32"/>
      <c r="BZ10" s="32"/>
      <c r="CA10" s="32"/>
      <c r="CB10" s="32">
        <f>2155.5+600</f>
        <v>2755.5</v>
      </c>
      <c r="CC10" s="32">
        <f>2120.476+600</f>
        <v>2720.4760000000001</v>
      </c>
      <c r="CD10" s="32"/>
      <c r="CE10" s="32"/>
      <c r="CF10" s="32">
        <v>239.38399999999999</v>
      </c>
      <c r="CG10" s="32">
        <v>239.38399999999999</v>
      </c>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61">
        <f t="shared" si="0"/>
        <v>22291.495999999996</v>
      </c>
      <c r="FA10" s="361">
        <f t="shared" si="1"/>
        <v>21869.418999999994</v>
      </c>
    </row>
    <row r="11" spans="1:157">
      <c r="A11" s="121" t="s">
        <v>398</v>
      </c>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189">
        <f t="shared" si="0"/>
        <v>0</v>
      </c>
      <c r="FA11" s="189">
        <f t="shared" si="1"/>
        <v>0</v>
      </c>
    </row>
    <row r="12" spans="1:157">
      <c r="A12" s="121" t="s">
        <v>378</v>
      </c>
      <c r="B12" s="32"/>
      <c r="C12" s="32"/>
      <c r="D12" s="32"/>
      <c r="E12" s="32"/>
      <c r="F12" s="32"/>
      <c r="G12" s="32"/>
      <c r="H12" s="32"/>
      <c r="I12" s="32"/>
      <c r="J12" s="32"/>
      <c r="K12" s="32"/>
      <c r="L12" s="32">
        <v>145.49600000000001</v>
      </c>
      <c r="M12" s="32">
        <v>135.39599999999999</v>
      </c>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61">
        <f t="shared" si="0"/>
        <v>145.49600000000001</v>
      </c>
      <c r="FA12" s="361">
        <f t="shared" si="1"/>
        <v>135.39599999999999</v>
      </c>
    </row>
    <row r="13" spans="1:157">
      <c r="A13" s="121" t="s">
        <v>399</v>
      </c>
      <c r="B13" s="32"/>
      <c r="C13" s="32"/>
      <c r="D13" s="32"/>
      <c r="E13" s="32"/>
      <c r="F13" s="32"/>
      <c r="G13" s="32"/>
      <c r="H13" s="32"/>
      <c r="I13" s="32"/>
      <c r="J13" s="32"/>
      <c r="K13" s="32"/>
      <c r="L13" s="32">
        <v>158.1</v>
      </c>
      <c r="M13" s="32">
        <v>158.1</v>
      </c>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61">
        <f t="shared" si="0"/>
        <v>158.1</v>
      </c>
      <c r="FA13" s="361">
        <f t="shared" si="1"/>
        <v>158.1</v>
      </c>
    </row>
    <row r="14" spans="1:157">
      <c r="A14" s="121" t="s">
        <v>401</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189">
        <f t="shared" si="0"/>
        <v>0</v>
      </c>
      <c r="FA14" s="189">
        <f t="shared" si="1"/>
        <v>0</v>
      </c>
    </row>
    <row r="15" spans="1:157">
      <c r="A15" s="121" t="s">
        <v>380</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v>379.42</v>
      </c>
      <c r="AK15" s="32">
        <v>371.75700000000001</v>
      </c>
      <c r="AL15" s="32"/>
      <c r="AM15" s="32"/>
      <c r="AN15" s="32"/>
      <c r="AO15" s="32"/>
      <c r="AP15" s="32"/>
      <c r="AQ15" s="32"/>
      <c r="AR15" s="32"/>
      <c r="AS15" s="32"/>
      <c r="AT15" s="32"/>
      <c r="AU15" s="32"/>
      <c r="AV15" s="32"/>
      <c r="AW15" s="32"/>
      <c r="AX15" s="32">
        <v>1250</v>
      </c>
      <c r="AY15" s="32">
        <v>1250</v>
      </c>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c r="EO15" s="32"/>
      <c r="EP15" s="32"/>
      <c r="EQ15" s="32"/>
      <c r="ER15" s="32"/>
      <c r="ES15" s="32"/>
      <c r="ET15" s="32"/>
      <c r="EU15" s="32"/>
      <c r="EV15" s="32"/>
      <c r="EW15" s="32"/>
      <c r="EX15" s="32"/>
      <c r="EY15" s="32"/>
      <c r="EZ15" s="361">
        <f>B15+D15+F15+H15+J15+L15+N15+P15+R15+T15+V15+X15+Z15+AB15+AD15+AF15+AH15+AJ15+AL15+AN15+AP15+AR15+AV15+AX15+AZ15+BB15+BD15+BF15+BH15+BJ15+BL15+BN15+BP15+BR15+BT15+BV15+BX15+BZ15+CB15+CD15+CF15+CH15+CJ15+CL15+CN15+CP15+CR15+CT15+CV15+CX15+CZ15+DB15+DD15+DF15+DH15+DJ15+DL15+DN15+DP15+DR15+DT15+DV15+DX15+ED15+EF15+EJ15+EP15+EV15+EX15</f>
        <v>1629.42</v>
      </c>
      <c r="FA15" s="361">
        <f>C15+E15+G15+I15+K15+M15+O15+Q15+S15+U15+W15+Y15+AA15+AC15+AE15+AG15+AI15+AK15+AM15+AO15+AQ15+AS15+AW15+AY15+BA15+BC15+BE15+BG15+BI15+BK15+BM15+BO15+BQ15+BS15+BU15+BW15+BY15+CA15+CC15+CE15+CG15+CI15+CK15+CM15+CO15+CQ15+CS15+CU15+CW15+CY15+DA15+DC15+DE15+DG15+DI15+DK15+DM15+DO15+DQ15+DS15+DU15+DW15+DY15+EE15+EG15+EK15+EQ15+EW15+EY15</f>
        <v>1621.7570000000001</v>
      </c>
    </row>
    <row r="16" spans="1:157">
      <c r="A16" s="121" t="s">
        <v>381</v>
      </c>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v>767.78300000000002</v>
      </c>
      <c r="AI16" s="32">
        <v>767.78300000000002</v>
      </c>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c r="EZ16" s="361">
        <f t="shared" ref="EZ16:EZ33" si="2">B16+D16+F16+H16+J16+L16+N16+P16+R16+T16+V16+X16+Z16+AB16+AD16+AF16+AH16+AJ16+AL16+AN16+AP16+AR16+AV16+AX16+AZ16+BB16+BD16+BF16+BH16+BJ16+BL16+BN16+BP16+BR16+BT16+BV16+BX16+BZ16+CB16+CD16+CF16+CH16+CJ16+CL16+CN16+CP16+CR16+CT16+CV16+CX16+CZ16+DB16+DD16+DF16+DH16+DJ16+DL16+DN16+DP16+DR16+DT16+DV16+DX16+ED16+EF16+EJ16+EP16+EV16+EX16</f>
        <v>767.78300000000002</v>
      </c>
      <c r="FA16" s="361">
        <f t="shared" ref="FA16:FA41" si="3">C16+E16+G16+I16+K16+M16+O16+Q16+S16+U16+W16+Y16+AA16+AC16+AE16+AG16+AI16+AK16+AM16+AO16+AQ16+AS16+AW16+AY16+BA16+BC16+BE16+BG16+BI16+BK16+BM16+BO16+BQ16+BS16+BU16+BW16+BY16+CA16+CC16+CE16+CG16+CI16+CK16+CM16+CO16+CQ16+CS16+CU16+CW16+CY16+DA16+DC16+DE16+DG16+DI16+DK16+DM16+DO16+DQ16+DS16+DU16+DW16+DY16+EE16+EG16+EK16+EQ16+EW16+EY16</f>
        <v>767.78300000000002</v>
      </c>
    </row>
    <row r="17" spans="1:157">
      <c r="A17" s="121" t="s">
        <v>382</v>
      </c>
      <c r="B17" s="32"/>
      <c r="C17" s="32"/>
      <c r="D17" s="32"/>
      <c r="E17" s="32"/>
      <c r="F17" s="32"/>
      <c r="G17" s="32"/>
      <c r="H17" s="32">
        <v>2837.6039999999998</v>
      </c>
      <c r="I17" s="32">
        <v>2837.6039999999998</v>
      </c>
      <c r="J17" s="32">
        <v>4559.5659999999998</v>
      </c>
      <c r="K17" s="32">
        <v>4310.7730000000001</v>
      </c>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61">
        <f t="shared" si="2"/>
        <v>7397.17</v>
      </c>
      <c r="FA17" s="361">
        <f t="shared" si="3"/>
        <v>7148.3770000000004</v>
      </c>
    </row>
    <row r="18" spans="1:157">
      <c r="A18" s="121" t="s">
        <v>383</v>
      </c>
      <c r="B18" s="32"/>
      <c r="C18" s="32"/>
      <c r="D18" s="32"/>
      <c r="E18" s="32"/>
      <c r="F18" s="32">
        <v>3501.5830000000001</v>
      </c>
      <c r="G18" s="32">
        <v>3438.46</v>
      </c>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61">
        <f t="shared" si="2"/>
        <v>3501.5830000000001</v>
      </c>
      <c r="FA18" s="361">
        <f t="shared" si="3"/>
        <v>3438.46</v>
      </c>
    </row>
    <row r="19" spans="1:157">
      <c r="A19" s="121" t="s">
        <v>724</v>
      </c>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189">
        <f t="shared" si="2"/>
        <v>0</v>
      </c>
      <c r="FA19" s="189">
        <f t="shared" si="3"/>
        <v>0</v>
      </c>
    </row>
    <row r="20" spans="1:157">
      <c r="A20" s="121" t="s">
        <v>385</v>
      </c>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v>1800</v>
      </c>
      <c r="AM20" s="32">
        <v>1800</v>
      </c>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f>127.3+6.7</f>
        <v>134</v>
      </c>
      <c r="BY20" s="32">
        <f>127.3+6.7</f>
        <v>134</v>
      </c>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61">
        <f t="shared" si="2"/>
        <v>1934</v>
      </c>
      <c r="FA20" s="361">
        <f t="shared" si="3"/>
        <v>1934</v>
      </c>
    </row>
    <row r="21" spans="1:157">
      <c r="A21" s="121" t="s">
        <v>400</v>
      </c>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c r="EZ21" s="189">
        <f t="shared" si="2"/>
        <v>0</v>
      </c>
      <c r="FA21" s="189">
        <f t="shared" si="3"/>
        <v>0</v>
      </c>
    </row>
    <row r="22" spans="1:157">
      <c r="A22" s="121" t="s">
        <v>386</v>
      </c>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189">
        <f t="shared" si="2"/>
        <v>0</v>
      </c>
      <c r="FA22" s="189">
        <f t="shared" si="3"/>
        <v>0</v>
      </c>
    </row>
    <row r="23" spans="1:157">
      <c r="A23" s="121" t="s">
        <v>387</v>
      </c>
      <c r="B23" s="32"/>
      <c r="C23" s="32"/>
      <c r="D23" s="32"/>
      <c r="E23" s="32"/>
      <c r="F23" s="32"/>
      <c r="G23" s="32"/>
      <c r="H23" s="32"/>
      <c r="I23" s="32"/>
      <c r="J23" s="32"/>
      <c r="K23" s="32"/>
      <c r="L23" s="32"/>
      <c r="M23" s="32"/>
      <c r="N23" s="32"/>
      <c r="O23" s="32"/>
      <c r="P23" s="32"/>
      <c r="Q23" s="32"/>
      <c r="R23" s="32"/>
      <c r="S23" s="32"/>
      <c r="T23" s="32"/>
      <c r="U23" s="32"/>
      <c r="V23" s="32"/>
      <c r="W23" s="32"/>
      <c r="X23" s="32"/>
      <c r="Y23" s="32"/>
      <c r="Z23" s="32">
        <v>6895.0429999999997</v>
      </c>
      <c r="AA23" s="32">
        <v>3110.143</v>
      </c>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61">
        <f t="shared" si="2"/>
        <v>6895.0429999999997</v>
      </c>
      <c r="FA23" s="361">
        <f t="shared" si="3"/>
        <v>3110.143</v>
      </c>
    </row>
    <row r="24" spans="1:157" hidden="1">
      <c r="A24" s="121" t="s">
        <v>485</v>
      </c>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189">
        <f t="shared" si="2"/>
        <v>0</v>
      </c>
      <c r="FA24" s="189">
        <f t="shared" si="3"/>
        <v>0</v>
      </c>
    </row>
    <row r="25" spans="1:157">
      <c r="A25" s="121" t="s">
        <v>388</v>
      </c>
      <c r="B25" s="32"/>
      <c r="C25" s="32"/>
      <c r="D25" s="32"/>
      <c r="E25" s="32"/>
      <c r="F25" s="32"/>
      <c r="G25" s="32"/>
      <c r="H25" s="32"/>
      <c r="I25" s="32"/>
      <c r="J25" s="32"/>
      <c r="K25" s="32"/>
      <c r="L25" s="32"/>
      <c r="M25" s="32"/>
      <c r="N25" s="32">
        <f>143787.471-679.493</f>
        <v>143107.978</v>
      </c>
      <c r="O25" s="32">
        <f>140123.456-656.629</f>
        <v>139466.82700000002</v>
      </c>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v>679.49300000000005</v>
      </c>
      <c r="BU25" s="32">
        <v>656.62900000000002</v>
      </c>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61">
        <f t="shared" si="2"/>
        <v>143787.47099999999</v>
      </c>
      <c r="FA25" s="361">
        <f t="shared" si="3"/>
        <v>140123.45600000001</v>
      </c>
    </row>
    <row r="26" spans="1:157">
      <c r="A26" s="121" t="s">
        <v>389</v>
      </c>
      <c r="B26" s="32"/>
      <c r="C26" s="32"/>
      <c r="D26" s="32"/>
      <c r="E26" s="32"/>
      <c r="F26" s="32"/>
      <c r="G26" s="32"/>
      <c r="H26" s="32"/>
      <c r="I26" s="32"/>
      <c r="J26" s="32"/>
      <c r="K26" s="32"/>
      <c r="L26" s="32"/>
      <c r="M26" s="32"/>
      <c r="N26" s="32">
        <v>32098.3</v>
      </c>
      <c r="O26" s="32">
        <v>31744.168000000001</v>
      </c>
      <c r="P26" s="32">
        <f>61640.814-255.089</f>
        <v>61385.724999999999</v>
      </c>
      <c r="Q26" s="32">
        <v>59700.652000000002</v>
      </c>
      <c r="R26" s="32">
        <f>66443.216+255.089</f>
        <v>66698.305000000008</v>
      </c>
      <c r="S26" s="32">
        <v>64407.587</v>
      </c>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v>1749.376</v>
      </c>
      <c r="BU26" s="32">
        <v>1729.3219999999999</v>
      </c>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61">
        <f t="shared" si="2"/>
        <v>161931.70600000001</v>
      </c>
      <c r="FA26" s="361">
        <f t="shared" si="3"/>
        <v>157581.72899999999</v>
      </c>
    </row>
    <row r="27" spans="1:157">
      <c r="A27" s="121" t="s">
        <v>441</v>
      </c>
      <c r="B27" s="32"/>
      <c r="C27" s="32"/>
      <c r="D27" s="32"/>
      <c r="E27" s="32"/>
      <c r="F27" s="32"/>
      <c r="G27" s="32"/>
      <c r="H27" s="32"/>
      <c r="I27" s="32"/>
      <c r="J27" s="32"/>
      <c r="K27" s="32"/>
      <c r="L27" s="32"/>
      <c r="M27" s="32"/>
      <c r="N27" s="32"/>
      <c r="O27" s="32"/>
      <c r="P27" s="32"/>
      <c r="Q27" s="32"/>
      <c r="R27" s="32"/>
      <c r="S27" s="32"/>
      <c r="T27" s="32">
        <f>83317.706-506.6-246.714</f>
        <v>82564.391999999993</v>
      </c>
      <c r="U27" s="32">
        <f>83181.825-506.6-226.714</f>
        <v>82448.510999999984</v>
      </c>
      <c r="V27" s="32"/>
      <c r="W27" s="32"/>
      <c r="X27" s="32">
        <v>506.6</v>
      </c>
      <c r="Y27" s="32">
        <v>506.6</v>
      </c>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v>246.714</v>
      </c>
      <c r="BU27" s="32">
        <v>226.714</v>
      </c>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61">
        <f t="shared" si="2"/>
        <v>83317.706000000006</v>
      </c>
      <c r="FA27" s="361">
        <f t="shared" si="3"/>
        <v>83181.824999999997</v>
      </c>
    </row>
    <row r="28" spans="1:157">
      <c r="A28" s="121" t="s">
        <v>881</v>
      </c>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v>4562.7380000000003</v>
      </c>
      <c r="BS28" s="32">
        <v>4357.3999999999996</v>
      </c>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61">
        <f t="shared" si="2"/>
        <v>4562.7380000000003</v>
      </c>
      <c r="FA28" s="361">
        <f t="shared" si="3"/>
        <v>4357.3999999999996</v>
      </c>
    </row>
    <row r="29" spans="1:157">
      <c r="A29" s="121" t="s">
        <v>390</v>
      </c>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189">
        <f t="shared" si="2"/>
        <v>0</v>
      </c>
      <c r="FA29" s="189">
        <f t="shared" si="3"/>
        <v>0</v>
      </c>
    </row>
    <row r="30" spans="1:157">
      <c r="A30" s="121" t="s">
        <v>391</v>
      </c>
      <c r="B30" s="32"/>
      <c r="C30" s="32"/>
      <c r="D30" s="32"/>
      <c r="E30" s="32"/>
      <c r="F30" s="32"/>
      <c r="G30" s="32"/>
      <c r="H30" s="32"/>
      <c r="I30" s="32"/>
      <c r="J30" s="32"/>
      <c r="K30" s="32"/>
      <c r="L30" s="32"/>
      <c r="M30" s="32"/>
      <c r="N30" s="32"/>
      <c r="O30" s="32"/>
      <c r="P30" s="32"/>
      <c r="Q30" s="32"/>
      <c r="R30" s="32"/>
      <c r="S30" s="32"/>
      <c r="T30" s="32"/>
      <c r="U30" s="32"/>
      <c r="V30" s="32"/>
      <c r="W30" s="32"/>
      <c r="X30" s="32">
        <v>264.89100000000002</v>
      </c>
      <c r="Y30" s="32">
        <v>264.89100000000002</v>
      </c>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v>5881.2139999999999</v>
      </c>
      <c r="BG30" s="32">
        <v>5775.3410000000003</v>
      </c>
      <c r="BH30" s="32">
        <v>13227.5</v>
      </c>
      <c r="BI30" s="32">
        <v>13080.950999999999</v>
      </c>
      <c r="BJ30" s="32"/>
      <c r="BK30" s="32"/>
      <c r="BL30" s="32"/>
      <c r="BM30" s="32"/>
      <c r="BN30" s="32"/>
      <c r="BO30" s="32"/>
      <c r="BP30" s="32"/>
      <c r="BQ30" s="32"/>
      <c r="BR30" s="32"/>
      <c r="BS30" s="32"/>
      <c r="BT30" s="32">
        <v>34.575000000000003</v>
      </c>
      <c r="BU30" s="32">
        <v>34.575000000000003</v>
      </c>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c r="EZ30" s="361">
        <f t="shared" si="2"/>
        <v>19408.18</v>
      </c>
      <c r="FA30" s="361">
        <f t="shared" si="3"/>
        <v>19155.757999999998</v>
      </c>
    </row>
    <row r="31" spans="1:157" s="122" customFormat="1">
      <c r="A31" s="121" t="s">
        <v>392</v>
      </c>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f>968.1+513</f>
        <v>1481.1</v>
      </c>
      <c r="AC31" s="32">
        <f>968.1+513</f>
        <v>1481.1</v>
      </c>
      <c r="AD31" s="32">
        <f>31459.5+1753.8+18951.343+432.122/2+1490.491+446.287+231+89.799</f>
        <v>54638.281000000003</v>
      </c>
      <c r="AE31" s="32">
        <f>31459.5+1513.215+18951.343+399.821/2+1490.491+446.287+231+89.799</f>
        <v>54381.545499999993</v>
      </c>
      <c r="AF31" s="32">
        <v>641.71</v>
      </c>
      <c r="AG31" s="32">
        <v>641.71</v>
      </c>
      <c r="AH31" s="32"/>
      <c r="AI31" s="32"/>
      <c r="AJ31" s="32"/>
      <c r="AK31" s="32"/>
      <c r="AL31" s="32"/>
      <c r="AM31" s="32"/>
      <c r="AN31" s="32"/>
      <c r="AO31" s="32"/>
      <c r="AP31" s="32"/>
      <c r="AQ31" s="32"/>
      <c r="AR31" s="32"/>
      <c r="AS31" s="32"/>
      <c r="AT31" s="32"/>
      <c r="AU31" s="32"/>
      <c r="AV31" s="32">
        <f>20406.6+11175.877+432.122/2+361.309+6.218+100+46.196+42.174+6112+255.845+100</f>
        <v>38822.28</v>
      </c>
      <c r="AW31" s="32">
        <f>20406.6+11175.877+399.821/2+361.309+6.218+100+46.196+42.174+6112+255.845+100</f>
        <v>38806.129500000003</v>
      </c>
      <c r="AX31" s="32"/>
      <c r="AY31" s="32"/>
      <c r="AZ31" s="32">
        <v>15708.3</v>
      </c>
      <c r="BA31" s="32">
        <v>15708.3</v>
      </c>
      <c r="BB31" s="32">
        <f>6090.8+2192.4+4413.8+7815.6+3732.7+23650</f>
        <v>47895.3</v>
      </c>
      <c r="BC31" s="32">
        <f>6090.8+2192.4+4413.8+7815.6+3732.7+23650</f>
        <v>47895.3</v>
      </c>
      <c r="BD31" s="32"/>
      <c r="BE31" s="32"/>
      <c r="BF31" s="32"/>
      <c r="BG31" s="32"/>
      <c r="BH31" s="32"/>
      <c r="BI31" s="32"/>
      <c r="BJ31" s="32"/>
      <c r="BK31" s="32"/>
      <c r="BL31" s="32"/>
      <c r="BM31" s="32"/>
      <c r="BN31" s="32"/>
      <c r="BO31" s="32"/>
      <c r="BP31" s="32"/>
      <c r="BQ31" s="32"/>
      <c r="BR31" s="32"/>
      <c r="BS31" s="32"/>
      <c r="BT31" s="32">
        <v>235.02600000000001</v>
      </c>
      <c r="BU31" s="32">
        <v>235.02600000000001</v>
      </c>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c r="EO31" s="32"/>
      <c r="EP31" s="32"/>
      <c r="EQ31" s="32"/>
      <c r="ER31" s="32"/>
      <c r="ES31" s="32"/>
      <c r="ET31" s="32"/>
      <c r="EU31" s="32"/>
      <c r="EV31" s="32"/>
      <c r="EW31" s="32"/>
      <c r="EX31" s="32"/>
      <c r="EY31" s="32"/>
      <c r="EZ31" s="361">
        <f t="shared" si="2"/>
        <v>159421.99700000003</v>
      </c>
      <c r="FA31" s="361">
        <f t="shared" si="3"/>
        <v>159149.111</v>
      </c>
    </row>
    <row r="32" spans="1:157">
      <c r="A32" s="121" t="s">
        <v>393</v>
      </c>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v>3454.5839999999998</v>
      </c>
      <c r="BG32" s="32">
        <v>3184.4409999999998</v>
      </c>
      <c r="BH32" s="32">
        <v>7683.7910000000002</v>
      </c>
      <c r="BI32" s="32">
        <v>7646.8720000000003</v>
      </c>
      <c r="BJ32" s="32"/>
      <c r="BK32" s="32"/>
      <c r="BL32" s="32"/>
      <c r="BM32" s="32"/>
      <c r="BN32" s="32"/>
      <c r="BO32" s="32"/>
      <c r="BP32" s="32"/>
      <c r="BQ32" s="32"/>
      <c r="BR32" s="32"/>
      <c r="BS32" s="32"/>
      <c r="BT32" s="32">
        <v>36.18</v>
      </c>
      <c r="BU32" s="32">
        <v>36.18</v>
      </c>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c r="EO32" s="32"/>
      <c r="EP32" s="32"/>
      <c r="EQ32" s="32"/>
      <c r="ER32" s="32"/>
      <c r="ES32" s="32"/>
      <c r="ET32" s="32"/>
      <c r="EU32" s="32"/>
      <c r="EV32" s="32"/>
      <c r="EW32" s="32"/>
      <c r="EX32" s="32"/>
      <c r="EY32" s="32"/>
      <c r="EZ32" s="361">
        <f t="shared" si="2"/>
        <v>11174.555</v>
      </c>
      <c r="FA32" s="361">
        <f t="shared" si="3"/>
        <v>10867.493</v>
      </c>
    </row>
    <row r="33" spans="1:157">
      <c r="A33" s="121" t="s">
        <v>394</v>
      </c>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v>4421.1180000000004</v>
      </c>
      <c r="CA33" s="32">
        <v>4421.1180000000004</v>
      </c>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c r="EO33" s="32"/>
      <c r="EP33" s="32"/>
      <c r="EQ33" s="32"/>
      <c r="ER33" s="32"/>
      <c r="ES33" s="32"/>
      <c r="ET33" s="32"/>
      <c r="EU33" s="32"/>
      <c r="EV33" s="32"/>
      <c r="EW33" s="32"/>
      <c r="EX33" s="32"/>
      <c r="EY33" s="32"/>
      <c r="EZ33" s="189">
        <f t="shared" si="2"/>
        <v>4421.1180000000004</v>
      </c>
      <c r="FA33" s="189">
        <f t="shared" si="3"/>
        <v>4421.1180000000004</v>
      </c>
    </row>
    <row r="34" spans="1:157">
      <c r="A34" s="121" t="s">
        <v>376</v>
      </c>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v>25</v>
      </c>
      <c r="AU34" s="32">
        <v>0</v>
      </c>
      <c r="AV34" s="32"/>
      <c r="AW34" s="32"/>
      <c r="AX34" s="32"/>
      <c r="AY34" s="32"/>
      <c r="AZ34" s="32"/>
      <c r="BA34" s="32"/>
      <c r="BB34" s="32"/>
      <c r="BC34" s="32"/>
      <c r="BD34" s="32"/>
      <c r="BE34" s="32"/>
      <c r="BF34" s="32">
        <v>2.8860000000000001</v>
      </c>
      <c r="BG34" s="32">
        <v>2.8860000000000001</v>
      </c>
      <c r="BH34" s="32"/>
      <c r="BI34" s="32"/>
      <c r="BJ34" s="32"/>
      <c r="BK34" s="32"/>
      <c r="BL34" s="32"/>
      <c r="BM34" s="32"/>
      <c r="BN34" s="32"/>
      <c r="BO34" s="32"/>
      <c r="BP34" s="32"/>
      <c r="BQ34" s="32"/>
      <c r="BR34" s="32"/>
      <c r="BS34" s="32"/>
      <c r="BT34" s="32"/>
      <c r="BU34" s="32"/>
      <c r="BV34" s="32"/>
      <c r="BW34" s="32"/>
      <c r="BX34" s="32"/>
      <c r="BY34" s="32"/>
      <c r="BZ34" s="32">
        <v>1178.0999999999999</v>
      </c>
      <c r="CA34" s="32">
        <v>1178.0999999999999</v>
      </c>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c r="EO34" s="32"/>
      <c r="EP34" s="32"/>
      <c r="EQ34" s="32"/>
      <c r="ER34" s="32"/>
      <c r="ES34" s="32"/>
      <c r="ET34" s="32"/>
      <c r="EU34" s="32"/>
      <c r="EV34" s="32"/>
      <c r="EW34" s="32"/>
      <c r="EX34" s="32"/>
      <c r="EY34" s="32"/>
      <c r="EZ34" s="189">
        <f>B34+D34+F34+H34+J34+L34+N34+P34+R34+T34+V34+X34+Z34+AB34+AD34+AF34+AH34+AJ34+AL34+AN34+AP34+AR34+AT34+AV34+AX34+AZ34+BB34+BD34+BF34+BH34+BJ34+BL34+BN34+BP34+BR34+BT34+BV34+BX34+BZ34+CB34+CD34+CF34+CH34+CJ34+CL34+CN34+CP34+CR34+CT34+CV34+CX34+CZ34+DB34+DD34+DF34+DH34+DJ34+DL34+DN34+DP34+DR34+DT34+DV34+DX34+ED34+EF34+EJ34+EP34+EV34+EX34</f>
        <v>1205.9859999999999</v>
      </c>
      <c r="FA34" s="189">
        <f>C34+E34+G34+I34+K34+M34+O34+Q34+S34+U34+W34+Y34+AA34+AC34+AE34+AG34+AI34+AK34+AM34+AO34+AQ34+AS34+AU34+AW34+AY34+BA34+BC34+BE34+BG34+BI34+BK34+BM34+BO34+BQ34+BS34+BU34+BW34+BY34+CA34+CC34+CE34+CG34+CI34+CK34+CM34+CO34+CQ34+CS34+CU34+CW34+CY34+DA34+DC34+DE34+DG34+DI34+DK34+DM34+DO34+DQ34+DS34+DU34+DW34+DY34+EE34+EG34+EK34+EQ34+EW34+EY34</f>
        <v>1180.9859999999999</v>
      </c>
    </row>
    <row r="35" spans="1:157">
      <c r="A35" s="121" t="s">
        <v>384</v>
      </c>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v>787</v>
      </c>
      <c r="CA35" s="32">
        <v>787</v>
      </c>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c r="EO35" s="32"/>
      <c r="EP35" s="32"/>
      <c r="EQ35" s="32"/>
      <c r="ER35" s="32"/>
      <c r="ES35" s="32"/>
      <c r="ET35" s="32"/>
      <c r="EU35" s="32"/>
      <c r="EV35" s="32"/>
      <c r="EW35" s="32"/>
      <c r="EX35" s="32"/>
      <c r="EY35" s="32"/>
      <c r="EZ35" s="189">
        <f t="shared" ref="EZ35:EZ41" si="4">B35+D35+F35+H35+J35+L35+N35+P35+R35+T35+V35+X35+Z35+AB35+AD35+AF35+AH35+AJ35+AL35+AN35+AP35+AR35+AT35+AV35+AX35+AZ35+BB35+BD35+BF35+BH35+BJ35+BL35+BN35+BP35+BR35+BT35+BV35+BX35+BZ35+CB35+CD35+CF35+CH35+CJ35+CL35+CN35+CP35+CR35+CT35+CV35+CX35+CZ35+DB35+DD35+DF35+DH35+DJ35+DL35+DN35+DP35+DR35+DT35+DV35+DX35+ED35+EF35+EJ35+EP35+EV35+EX35</f>
        <v>787</v>
      </c>
      <c r="FA35" s="189">
        <f t="shared" si="3"/>
        <v>787</v>
      </c>
    </row>
    <row r="36" spans="1:157">
      <c r="A36" s="121" t="s">
        <v>369</v>
      </c>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v>4523.4610000000002</v>
      </c>
      <c r="AO36" s="32">
        <v>4469.6400000000003</v>
      </c>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32"/>
      <c r="EZ36" s="189">
        <f t="shared" si="4"/>
        <v>4523.4610000000002</v>
      </c>
      <c r="FA36" s="189">
        <f t="shared" si="3"/>
        <v>4469.6400000000003</v>
      </c>
    </row>
    <row r="37" spans="1:157">
      <c r="A37" s="121" t="s">
        <v>395</v>
      </c>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v>10420.587</v>
      </c>
      <c r="AQ37" s="32">
        <v>9406.4629999999997</v>
      </c>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c r="EO37" s="32"/>
      <c r="EP37" s="32"/>
      <c r="EQ37" s="32"/>
      <c r="ER37" s="32"/>
      <c r="ES37" s="32"/>
      <c r="ET37" s="32"/>
      <c r="EU37" s="32"/>
      <c r="EV37" s="32"/>
      <c r="EW37" s="32"/>
      <c r="EX37" s="32"/>
      <c r="EY37" s="32"/>
      <c r="EZ37" s="189">
        <f t="shared" si="4"/>
        <v>10420.587</v>
      </c>
      <c r="FA37" s="189">
        <f t="shared" si="3"/>
        <v>9406.4629999999997</v>
      </c>
    </row>
    <row r="38" spans="1:157" ht="12.75" customHeight="1">
      <c r="A38" s="121" t="s">
        <v>46</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c r="EO38" s="32"/>
      <c r="EP38" s="32"/>
      <c r="EQ38" s="32"/>
      <c r="ER38" s="32"/>
      <c r="ES38" s="32"/>
      <c r="ET38" s="32"/>
      <c r="EU38" s="32"/>
      <c r="EV38" s="32"/>
      <c r="EW38" s="32"/>
      <c r="EX38" s="32"/>
      <c r="EY38" s="32"/>
      <c r="EZ38" s="189">
        <f t="shared" si="4"/>
        <v>0</v>
      </c>
      <c r="FA38" s="189">
        <f t="shared" si="3"/>
        <v>0</v>
      </c>
    </row>
    <row r="39" spans="1:157">
      <c r="A39" s="121" t="s">
        <v>396</v>
      </c>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v>284.89999999999998</v>
      </c>
      <c r="BK39" s="32">
        <v>284.41500000000002</v>
      </c>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c r="EO39" s="32"/>
      <c r="EP39" s="32"/>
      <c r="EQ39" s="32"/>
      <c r="ER39" s="32"/>
      <c r="ES39" s="32"/>
      <c r="ET39" s="32"/>
      <c r="EU39" s="32"/>
      <c r="EV39" s="32"/>
      <c r="EW39" s="32"/>
      <c r="EX39" s="32"/>
      <c r="EY39" s="32"/>
      <c r="EZ39" s="189">
        <f t="shared" si="4"/>
        <v>284.89999999999998</v>
      </c>
      <c r="FA39" s="189">
        <f t="shared" si="3"/>
        <v>284.41500000000002</v>
      </c>
    </row>
    <row r="40" spans="1:157">
      <c r="A40" s="121" t="s">
        <v>49</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189">
        <f t="shared" si="4"/>
        <v>0</v>
      </c>
      <c r="FA40" s="189">
        <f t="shared" si="3"/>
        <v>0</v>
      </c>
    </row>
    <row r="41" spans="1:157">
      <c r="A41" s="121" t="s">
        <v>50</v>
      </c>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c r="EO41" s="32"/>
      <c r="EP41" s="32"/>
      <c r="EQ41" s="32"/>
      <c r="ER41" s="32"/>
      <c r="ES41" s="32"/>
      <c r="ET41" s="32"/>
      <c r="EU41" s="32"/>
      <c r="EV41" s="32"/>
      <c r="EW41" s="32"/>
      <c r="EX41" s="32"/>
      <c r="EY41" s="32"/>
      <c r="EZ41" s="189">
        <f t="shared" si="4"/>
        <v>0</v>
      </c>
      <c r="FA41" s="189">
        <f t="shared" si="3"/>
        <v>0</v>
      </c>
    </row>
    <row r="42" spans="1:157" s="122" customFormat="1">
      <c r="A42" s="121" t="s">
        <v>397</v>
      </c>
      <c r="B42" s="32">
        <f>SUM(B3:B41)</f>
        <v>4106.384</v>
      </c>
      <c r="C42" s="32">
        <f t="shared" ref="C42:BP42" si="5">SUM(C3:C41)</f>
        <v>3841.6190000000001</v>
      </c>
      <c r="D42" s="32">
        <f t="shared" si="5"/>
        <v>0</v>
      </c>
      <c r="E42" s="32">
        <f t="shared" si="5"/>
        <v>0</v>
      </c>
      <c r="F42" s="32">
        <f t="shared" si="5"/>
        <v>3501.5830000000001</v>
      </c>
      <c r="G42" s="32">
        <f t="shared" si="5"/>
        <v>3438.46</v>
      </c>
      <c r="H42" s="32">
        <f t="shared" si="5"/>
        <v>2837.6039999999998</v>
      </c>
      <c r="I42" s="32">
        <f t="shared" si="5"/>
        <v>2837.6039999999998</v>
      </c>
      <c r="J42" s="32">
        <f t="shared" si="5"/>
        <v>4559.5659999999998</v>
      </c>
      <c r="K42" s="32">
        <f t="shared" si="5"/>
        <v>4310.7730000000001</v>
      </c>
      <c r="L42" s="32">
        <f t="shared" si="5"/>
        <v>303.596</v>
      </c>
      <c r="M42" s="32">
        <f t="shared" si="5"/>
        <v>293.49599999999998</v>
      </c>
      <c r="N42" s="32">
        <f t="shared" si="5"/>
        <v>175206.27799999999</v>
      </c>
      <c r="O42" s="32">
        <f t="shared" si="5"/>
        <v>171210.99500000002</v>
      </c>
      <c r="P42" s="32">
        <f t="shared" si="5"/>
        <v>61385.724999999999</v>
      </c>
      <c r="Q42" s="32">
        <f t="shared" si="5"/>
        <v>59700.652000000002</v>
      </c>
      <c r="R42" s="32">
        <f t="shared" si="5"/>
        <v>66698.305000000008</v>
      </c>
      <c r="S42" s="32">
        <f t="shared" si="5"/>
        <v>64407.587</v>
      </c>
      <c r="T42" s="32">
        <f t="shared" si="5"/>
        <v>82564.391999999993</v>
      </c>
      <c r="U42" s="32">
        <f t="shared" si="5"/>
        <v>82448.510999999984</v>
      </c>
      <c r="V42" s="32">
        <f t="shared" si="5"/>
        <v>0</v>
      </c>
      <c r="W42" s="32">
        <f t="shared" si="5"/>
        <v>0</v>
      </c>
      <c r="X42" s="32">
        <f t="shared" si="5"/>
        <v>771.49099999999999</v>
      </c>
      <c r="Y42" s="32">
        <f t="shared" si="5"/>
        <v>771.49099999999999</v>
      </c>
      <c r="Z42" s="32">
        <f t="shared" si="5"/>
        <v>6895.0429999999997</v>
      </c>
      <c r="AA42" s="32">
        <f t="shared" si="5"/>
        <v>3110.143</v>
      </c>
      <c r="AB42" s="32">
        <f t="shared" si="5"/>
        <v>3975.3450000000003</v>
      </c>
      <c r="AC42" s="32">
        <f t="shared" si="5"/>
        <v>3968.2710000000002</v>
      </c>
      <c r="AD42" s="32">
        <f t="shared" si="5"/>
        <v>54638.281000000003</v>
      </c>
      <c r="AE42" s="32">
        <f t="shared" si="5"/>
        <v>54381.545499999993</v>
      </c>
      <c r="AF42" s="32">
        <f t="shared" si="5"/>
        <v>641.71</v>
      </c>
      <c r="AG42" s="32">
        <f t="shared" si="5"/>
        <v>641.71</v>
      </c>
      <c r="AH42" s="32">
        <f t="shared" si="5"/>
        <v>767.78300000000002</v>
      </c>
      <c r="AI42" s="32">
        <f t="shared" si="5"/>
        <v>767.78300000000002</v>
      </c>
      <c r="AJ42" s="32">
        <f t="shared" si="5"/>
        <v>379.42</v>
      </c>
      <c r="AK42" s="32">
        <f t="shared" si="5"/>
        <v>371.75700000000001</v>
      </c>
      <c r="AL42" s="32">
        <f t="shared" si="5"/>
        <v>1800</v>
      </c>
      <c r="AM42" s="32">
        <f t="shared" si="5"/>
        <v>1800</v>
      </c>
      <c r="AN42" s="32">
        <f t="shared" si="5"/>
        <v>4523.4610000000002</v>
      </c>
      <c r="AO42" s="32">
        <f t="shared" si="5"/>
        <v>4469.6400000000003</v>
      </c>
      <c r="AP42" s="32">
        <f t="shared" si="5"/>
        <v>10420.587</v>
      </c>
      <c r="AQ42" s="32">
        <f t="shared" si="5"/>
        <v>9406.4629999999997</v>
      </c>
      <c r="AR42" s="32">
        <f t="shared" si="5"/>
        <v>0</v>
      </c>
      <c r="AS42" s="32">
        <f t="shared" si="5"/>
        <v>0</v>
      </c>
      <c r="AT42" s="32">
        <f t="shared" si="5"/>
        <v>25</v>
      </c>
      <c r="AU42" s="32">
        <f t="shared" si="5"/>
        <v>0</v>
      </c>
      <c r="AV42" s="32">
        <f t="shared" si="5"/>
        <v>38822.28</v>
      </c>
      <c r="AW42" s="32">
        <f t="shared" si="5"/>
        <v>38806.129500000003</v>
      </c>
      <c r="AX42" s="32">
        <f t="shared" ref="AX42:AY42" si="6">SUM(AX3:AX41)</f>
        <v>1250</v>
      </c>
      <c r="AY42" s="32">
        <f t="shared" si="6"/>
        <v>1250</v>
      </c>
      <c r="AZ42" s="32">
        <f t="shared" si="5"/>
        <v>15708.3</v>
      </c>
      <c r="BA42" s="32">
        <f t="shared" si="5"/>
        <v>15708.3</v>
      </c>
      <c r="BB42" s="32">
        <f t="shared" si="5"/>
        <v>47895.3</v>
      </c>
      <c r="BC42" s="32">
        <f t="shared" si="5"/>
        <v>47895.3</v>
      </c>
      <c r="BD42" s="32">
        <f t="shared" si="5"/>
        <v>0</v>
      </c>
      <c r="BE42" s="32">
        <f t="shared" si="5"/>
        <v>0</v>
      </c>
      <c r="BF42" s="32">
        <f t="shared" si="5"/>
        <v>42548.873</v>
      </c>
      <c r="BG42" s="32">
        <f t="shared" si="5"/>
        <v>40160.163999999997</v>
      </c>
      <c r="BH42" s="32">
        <f t="shared" si="5"/>
        <v>72854.699000000008</v>
      </c>
      <c r="BI42" s="32">
        <f t="shared" si="5"/>
        <v>72513.873999999996</v>
      </c>
      <c r="BJ42" s="32">
        <f t="shared" si="5"/>
        <v>284.89999999999998</v>
      </c>
      <c r="BK42" s="32">
        <f t="shared" si="5"/>
        <v>284.41500000000002</v>
      </c>
      <c r="BL42" s="32">
        <f t="shared" si="5"/>
        <v>910</v>
      </c>
      <c r="BM42" s="32">
        <f t="shared" si="5"/>
        <v>910</v>
      </c>
      <c r="BN42" s="32">
        <f t="shared" si="5"/>
        <v>12272.498</v>
      </c>
      <c r="BO42" s="32">
        <f t="shared" si="5"/>
        <v>12169.284</v>
      </c>
      <c r="BP42" s="32">
        <f t="shared" si="5"/>
        <v>3243.8149999999996</v>
      </c>
      <c r="BQ42" s="32">
        <f t="shared" ref="BQ42:EJ42" si="7">SUM(BQ3:BQ41)</f>
        <v>3243.8149999999996</v>
      </c>
      <c r="BR42" s="32">
        <f>SUM(BR3:BR41)</f>
        <v>4562.7380000000003</v>
      </c>
      <c r="BS42" s="32">
        <f>SUM(BS3:BS41)</f>
        <v>4357.3999999999996</v>
      </c>
      <c r="BT42" s="32">
        <f t="shared" si="7"/>
        <v>3284.2819999999997</v>
      </c>
      <c r="BU42" s="32">
        <f t="shared" si="7"/>
        <v>3221.3639999999991</v>
      </c>
      <c r="BV42" s="32">
        <f t="shared" si="7"/>
        <v>124.193</v>
      </c>
      <c r="BW42" s="32">
        <f t="shared" si="7"/>
        <v>112.193</v>
      </c>
      <c r="BX42" s="32">
        <f t="shared" si="7"/>
        <v>134</v>
      </c>
      <c r="BY42" s="32">
        <f t="shared" si="7"/>
        <v>134</v>
      </c>
      <c r="BZ42" s="32">
        <f t="shared" si="7"/>
        <v>6386.2180000000008</v>
      </c>
      <c r="CA42" s="32">
        <f t="shared" si="7"/>
        <v>6386.2180000000008</v>
      </c>
      <c r="CB42" s="32">
        <f t="shared" si="7"/>
        <v>2755.5</v>
      </c>
      <c r="CC42" s="32">
        <f t="shared" si="7"/>
        <v>2720.4760000000001</v>
      </c>
      <c r="CD42" s="32">
        <f t="shared" si="7"/>
        <v>0</v>
      </c>
      <c r="CE42" s="32">
        <f t="shared" si="7"/>
        <v>0</v>
      </c>
      <c r="CF42" s="32">
        <f t="shared" si="7"/>
        <v>239.38399999999999</v>
      </c>
      <c r="CG42" s="32">
        <f t="shared" si="7"/>
        <v>239.38399999999999</v>
      </c>
      <c r="CH42" s="32">
        <f t="shared" si="7"/>
        <v>0</v>
      </c>
      <c r="CI42" s="32">
        <f t="shared" si="7"/>
        <v>0</v>
      </c>
      <c r="CJ42" s="32">
        <f t="shared" si="7"/>
        <v>0</v>
      </c>
      <c r="CK42" s="32">
        <f t="shared" si="7"/>
        <v>0</v>
      </c>
      <c r="CL42" s="32">
        <f t="shared" si="7"/>
        <v>0</v>
      </c>
      <c r="CM42" s="32">
        <f t="shared" si="7"/>
        <v>0</v>
      </c>
      <c r="CN42" s="32">
        <f t="shared" si="7"/>
        <v>0</v>
      </c>
      <c r="CO42" s="32">
        <f t="shared" si="7"/>
        <v>0</v>
      </c>
      <c r="CP42" s="32">
        <f t="shared" si="7"/>
        <v>0</v>
      </c>
      <c r="CQ42" s="32">
        <f t="shared" si="7"/>
        <v>0</v>
      </c>
      <c r="CR42" s="32">
        <f t="shared" si="7"/>
        <v>0</v>
      </c>
      <c r="CS42" s="32">
        <f t="shared" si="7"/>
        <v>0</v>
      </c>
      <c r="CT42" s="32">
        <f t="shared" si="7"/>
        <v>0</v>
      </c>
      <c r="CU42" s="32">
        <f t="shared" si="7"/>
        <v>0</v>
      </c>
      <c r="CV42" s="32">
        <f t="shared" si="7"/>
        <v>0</v>
      </c>
      <c r="CW42" s="32">
        <f t="shared" si="7"/>
        <v>0</v>
      </c>
      <c r="CX42" s="32">
        <f t="shared" si="7"/>
        <v>0</v>
      </c>
      <c r="CY42" s="32">
        <f t="shared" si="7"/>
        <v>0</v>
      </c>
      <c r="CZ42" s="32">
        <f t="shared" si="7"/>
        <v>0</v>
      </c>
      <c r="DA42" s="32">
        <f t="shared" si="7"/>
        <v>0</v>
      </c>
      <c r="DB42" s="32">
        <f t="shared" si="7"/>
        <v>0</v>
      </c>
      <c r="DC42" s="32">
        <f t="shared" si="7"/>
        <v>0</v>
      </c>
      <c r="DD42" s="32">
        <f t="shared" si="7"/>
        <v>0</v>
      </c>
      <c r="DE42" s="32">
        <f t="shared" si="7"/>
        <v>0</v>
      </c>
      <c r="DF42" s="32">
        <f t="shared" si="7"/>
        <v>0</v>
      </c>
      <c r="DG42" s="32">
        <f t="shared" si="7"/>
        <v>0</v>
      </c>
      <c r="DH42" s="32">
        <f t="shared" si="7"/>
        <v>0</v>
      </c>
      <c r="DI42" s="32">
        <f t="shared" si="7"/>
        <v>0</v>
      </c>
      <c r="DJ42" s="32">
        <f t="shared" si="7"/>
        <v>0</v>
      </c>
      <c r="DK42" s="32">
        <f t="shared" si="7"/>
        <v>0</v>
      </c>
      <c r="DL42" s="32">
        <f t="shared" si="7"/>
        <v>0</v>
      </c>
      <c r="DM42" s="32">
        <f t="shared" si="7"/>
        <v>0</v>
      </c>
      <c r="DN42" s="32">
        <f t="shared" si="7"/>
        <v>0</v>
      </c>
      <c r="DO42" s="32">
        <f t="shared" si="7"/>
        <v>0</v>
      </c>
      <c r="DP42" s="32">
        <f t="shared" si="7"/>
        <v>0</v>
      </c>
      <c r="DQ42" s="32">
        <f t="shared" si="7"/>
        <v>0</v>
      </c>
      <c r="DR42" s="32">
        <f t="shared" si="7"/>
        <v>0</v>
      </c>
      <c r="DS42" s="32">
        <f t="shared" si="7"/>
        <v>0</v>
      </c>
      <c r="DT42" s="32">
        <f t="shared" si="7"/>
        <v>0</v>
      </c>
      <c r="DU42" s="32">
        <f t="shared" si="7"/>
        <v>0</v>
      </c>
      <c r="DV42" s="32">
        <f t="shared" si="7"/>
        <v>0</v>
      </c>
      <c r="DW42" s="32">
        <f t="shared" si="7"/>
        <v>0</v>
      </c>
      <c r="DX42" s="32">
        <f t="shared" si="7"/>
        <v>0</v>
      </c>
      <c r="DY42" s="32">
        <f t="shared" si="7"/>
        <v>0</v>
      </c>
      <c r="DZ42" s="32">
        <f t="shared" si="7"/>
        <v>0</v>
      </c>
      <c r="EA42" s="32">
        <f t="shared" si="7"/>
        <v>0</v>
      </c>
      <c r="EB42" s="32">
        <f t="shared" si="7"/>
        <v>0</v>
      </c>
      <c r="EC42" s="32">
        <f t="shared" si="7"/>
        <v>0</v>
      </c>
      <c r="ED42" s="32">
        <f t="shared" si="7"/>
        <v>0</v>
      </c>
      <c r="EE42" s="32">
        <f t="shared" si="7"/>
        <v>0</v>
      </c>
      <c r="EF42" s="32">
        <f t="shared" si="7"/>
        <v>0</v>
      </c>
      <c r="EG42" s="32">
        <f t="shared" si="7"/>
        <v>0</v>
      </c>
      <c r="EH42" s="32">
        <f t="shared" si="7"/>
        <v>0</v>
      </c>
      <c r="EI42" s="32">
        <f t="shared" si="7"/>
        <v>0</v>
      </c>
      <c r="EJ42" s="32">
        <f t="shared" si="7"/>
        <v>0</v>
      </c>
      <c r="EK42" s="32">
        <f t="shared" ref="EK42:EY42" si="8">SUM(EK3:EK41)</f>
        <v>0</v>
      </c>
      <c r="EL42" s="32">
        <f t="shared" si="8"/>
        <v>0</v>
      </c>
      <c r="EM42" s="32">
        <f t="shared" si="8"/>
        <v>0</v>
      </c>
      <c r="EN42" s="32">
        <f t="shared" si="8"/>
        <v>0</v>
      </c>
      <c r="EO42" s="32">
        <f t="shared" si="8"/>
        <v>0</v>
      </c>
      <c r="EP42" s="32">
        <f t="shared" si="8"/>
        <v>0</v>
      </c>
      <c r="EQ42" s="32">
        <f t="shared" si="8"/>
        <v>0</v>
      </c>
      <c r="ER42" s="32">
        <f t="shared" si="8"/>
        <v>0</v>
      </c>
      <c r="ES42" s="32">
        <f t="shared" si="8"/>
        <v>0</v>
      </c>
      <c r="ET42" s="32">
        <f t="shared" si="8"/>
        <v>0</v>
      </c>
      <c r="EU42" s="32">
        <f t="shared" si="8"/>
        <v>0</v>
      </c>
      <c r="EV42" s="32">
        <f t="shared" si="8"/>
        <v>0</v>
      </c>
      <c r="EW42" s="32">
        <f t="shared" si="8"/>
        <v>0</v>
      </c>
      <c r="EX42" s="32">
        <f t="shared" si="8"/>
        <v>0</v>
      </c>
      <c r="EY42" s="32">
        <f t="shared" si="8"/>
        <v>0</v>
      </c>
      <c r="EZ42" s="189">
        <f>SUM(EZ3:EZ41)</f>
        <v>739278.53400000033</v>
      </c>
      <c r="FA42" s="189">
        <f>SUM(FA3:FA41)</f>
        <v>722290.81700000016</v>
      </c>
    </row>
    <row r="43" spans="1:157">
      <c r="AR43" s="125"/>
      <c r="AS43" s="125"/>
      <c r="AT43" s="125"/>
      <c r="AU43" s="125"/>
      <c r="AV43" s="125">
        <f>B42+D42+F42+H42+J42+L42+N42+P42+R42+T42+V42+X42+Z42+AB42+AD42+AF42+AH42+AJ42+AL42+AN42+AP42+AR42+AV42</f>
        <v>524798.83400000003</v>
      </c>
      <c r="AW43" s="125">
        <f>C42+E42+G42+I42+K42+M42+O42+Q42+S42+U42+W42+Y42+AA42+AC42+AE42+AG42+AI42+AK42+AM42+AO42+AQ42+AS42+AW42</f>
        <v>510984.62999999995</v>
      </c>
      <c r="AX43" s="125">
        <f>D42+F42+H42+J42+L42+N42+P42+R42+T42+V42+X42+Z42+AB42+AD42+AF42+AH42+AJ42+AL42+AN42+AP42+AR42+AV42+AX42</f>
        <v>521942.44999999995</v>
      </c>
      <c r="AY43" s="125">
        <f>E42+G42+I42+K42+M42+O42+Q42+S42+U42+W42+Y42+AA42+AC42+AE42+AG42+AI42+AK42+AM42+AO42+AQ42+AS42+AW42+AY42</f>
        <v>508393.011</v>
      </c>
      <c r="BA43" s="126"/>
      <c r="BB43" s="126"/>
      <c r="BC43" s="126"/>
      <c r="BD43" s="126">
        <f>AZ42+BB42+BD42</f>
        <v>63603.600000000006</v>
      </c>
      <c r="BE43" s="126">
        <f>BA42+BC42+BE42</f>
        <v>63603.600000000006</v>
      </c>
      <c r="BF43" s="126"/>
      <c r="BG43" s="126"/>
      <c r="BH43" s="126"/>
      <c r="BI43" s="126"/>
      <c r="BJ43" s="126"/>
      <c r="BK43" s="126"/>
      <c r="BL43" s="126"/>
      <c r="BM43" s="126"/>
      <c r="BN43" s="126"/>
      <c r="BO43" s="126"/>
      <c r="BP43" s="126"/>
      <c r="BQ43" s="126"/>
      <c r="BR43" s="126"/>
      <c r="BS43" s="126"/>
      <c r="BT43" s="126"/>
      <c r="BU43" s="126"/>
      <c r="BV43" s="126">
        <f>BF42+BH42+BJ42+BL42+BN42+BR42+BP42+BT42+BV42</f>
        <v>140085.99800000002</v>
      </c>
      <c r="BW43" s="126">
        <f>BG42+BI42+BK42+BM42+BO42+BQ42+BS42+BU42+BW42</f>
        <v>136972.50899999999</v>
      </c>
      <c r="BX43" s="126">
        <f>BX42</f>
        <v>134</v>
      </c>
      <c r="BY43" s="126">
        <f>BY42</f>
        <v>134</v>
      </c>
      <c r="BZ43" s="127"/>
      <c r="CA43" s="127"/>
      <c r="CB43" s="127"/>
      <c r="CC43" s="127"/>
      <c r="CD43" s="127"/>
      <c r="CE43" s="127"/>
      <c r="CF43" s="126">
        <f>BZ42+CB42+CD42+CF42</f>
        <v>9381.1020000000008</v>
      </c>
      <c r="CG43" s="126">
        <f>CA42+CC42+CE42+CG42</f>
        <v>9346.0780000000013</v>
      </c>
      <c r="CL43" s="126">
        <f>CH42+CJ42+CL42</f>
        <v>0</v>
      </c>
      <c r="CM43" s="126">
        <f>CI42+CK42+CM42</f>
        <v>0</v>
      </c>
      <c r="DB43" s="126">
        <f>CN42+CP42+CR42+CT42+CV42+CX42+CZ42+DB42</f>
        <v>0</v>
      </c>
      <c r="DC43" s="126">
        <f>CO42+CQ42+CS42+CU42+CW42+CY42+DA42+DC42</f>
        <v>0</v>
      </c>
      <c r="DH43" s="126">
        <f>DD42+DF42+DH42</f>
        <v>0</v>
      </c>
      <c r="DI43" s="126">
        <f>DE42+DG42+DI42</f>
        <v>0</v>
      </c>
      <c r="EX43" s="304">
        <f>DD42+DF42+DH42+DJ42+DL42+DN42+DP42+DR42+DX42+DZ42+EB42+ED42+EF42+EH42+EJ42+EL42+EN42+EP42+ER42+ET42+EV42+EX42</f>
        <v>0</v>
      </c>
      <c r="EY43" s="304">
        <f>DE42+DG42+DI42+DK42+DM42+DO42+DQ42+DS42+DY42+EA42+EC42+EE42+EG42+EI42+EK42+EM42+EO42+EQ42+ES42+EU42+EW42+EY42</f>
        <v>0</v>
      </c>
    </row>
    <row r="44" spans="1:157">
      <c r="EX44" s="303">
        <f>DJ42+DL42+DN42+DP42+DR42+DX42+DZ42+EB42+ED42+EF42+EH42+EJ42+EL42+EN42+EP42+ER42+ET42+EV42+EX42</f>
        <v>0</v>
      </c>
      <c r="EY44" s="303">
        <f>DK42+DM42+DO42+DQ42+DS42+DY42+EA42+EC42+EE42+EG42+EI42+EK42+EM42+EO42+EQ42+ES42+EU42+EW42+EY42</f>
        <v>0</v>
      </c>
    </row>
  </sheetData>
  <mergeCells count="78">
    <mergeCell ref="EZ2:FA2"/>
    <mergeCell ref="EJ2:EK2"/>
    <mergeCell ref="DH2:DI2"/>
    <mergeCell ref="EX2:EY2"/>
    <mergeCell ref="ED2:EE2"/>
    <mergeCell ref="EF2:EG2"/>
    <mergeCell ref="DP2:DQ2"/>
    <mergeCell ref="DL2:DM2"/>
    <mergeCell ref="ER2:ES2"/>
    <mergeCell ref="EL2:EM2"/>
    <mergeCell ref="ET2:EU2"/>
    <mergeCell ref="EH2:EI2"/>
    <mergeCell ref="EN2:EO2"/>
    <mergeCell ref="DZ2:EA2"/>
    <mergeCell ref="EB2:EC2"/>
    <mergeCell ref="DD2:DE2"/>
    <mergeCell ref="EV2:EW2"/>
    <mergeCell ref="DJ2:DK2"/>
    <mergeCell ref="DT2:DU2"/>
    <mergeCell ref="DF2:DG2"/>
    <mergeCell ref="DV2:DW2"/>
    <mergeCell ref="EP2:EQ2"/>
    <mergeCell ref="DR2:DS2"/>
    <mergeCell ref="DN2:DO2"/>
    <mergeCell ref="DX2:DY2"/>
    <mergeCell ref="CR2:CS2"/>
    <mergeCell ref="CX2:CY2"/>
    <mergeCell ref="CL2:CM2"/>
    <mergeCell ref="CT2:CU2"/>
    <mergeCell ref="DB2:DC2"/>
    <mergeCell ref="CZ2:DA2"/>
    <mergeCell ref="CV2:CW2"/>
    <mergeCell ref="CP2:CQ2"/>
    <mergeCell ref="CJ2:CK2"/>
    <mergeCell ref="BT2:BU2"/>
    <mergeCell ref="BD2:BE2"/>
    <mergeCell ref="BP2:BQ2"/>
    <mergeCell ref="CN2:CO2"/>
    <mergeCell ref="CH2:CI2"/>
    <mergeCell ref="BJ2:BK2"/>
    <mergeCell ref="CF2:CG2"/>
    <mergeCell ref="BZ2:CA2"/>
    <mergeCell ref="BR2:BS2"/>
    <mergeCell ref="CD2:CE2"/>
    <mergeCell ref="BL2:BM2"/>
    <mergeCell ref="BV2:BW2"/>
    <mergeCell ref="BH2:BI2"/>
    <mergeCell ref="D2:E2"/>
    <mergeCell ref="N2:O2"/>
    <mergeCell ref="P2:Q2"/>
    <mergeCell ref="R2:S2"/>
    <mergeCell ref="BF2:BG2"/>
    <mergeCell ref="L2:M2"/>
    <mergeCell ref="F2:G2"/>
    <mergeCell ref="H2:I2"/>
    <mergeCell ref="J2:K2"/>
    <mergeCell ref="AH2:AI2"/>
    <mergeCell ref="AJ2:AK2"/>
    <mergeCell ref="AN2:AO2"/>
    <mergeCell ref="AP2:AQ2"/>
    <mergeCell ref="AX2:AY2"/>
    <mergeCell ref="AT2:AU2"/>
    <mergeCell ref="B2:C2"/>
    <mergeCell ref="AB2:AC2"/>
    <mergeCell ref="BN2:BO2"/>
    <mergeCell ref="CB2:CC2"/>
    <mergeCell ref="AF2:AG2"/>
    <mergeCell ref="AL2:AM2"/>
    <mergeCell ref="BX2:BY2"/>
    <mergeCell ref="Z2:AA2"/>
    <mergeCell ref="T2:U2"/>
    <mergeCell ref="V2:W2"/>
    <mergeCell ref="AR2:AS2"/>
    <mergeCell ref="X2:Y2"/>
    <mergeCell ref="AD2:AE2"/>
    <mergeCell ref="AV2:AW2"/>
    <mergeCell ref="AZ2:BA2"/>
    <mergeCell ref="BB2:BC2"/>
  </mergeCells>
  <pageMargins left="0.31496062992125984" right="0" top="1.1417322834645669" bottom="0.19685039370078741"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dimension ref="A2:DZ44"/>
  <sheetViews>
    <sheetView zoomScaleNormal="100" zoomScaleSheetLayoutView="100" workbookViewId="0">
      <pane xSplit="1" ySplit="2" topLeftCell="B3" activePane="bottomRight" state="frozen"/>
      <selection pane="topRight" activeCell="B1" sqref="B1"/>
      <selection pane="bottomLeft" activeCell="A3" sqref="A3"/>
      <selection pane="bottomRight" activeCell="A43" sqref="A43"/>
    </sheetView>
  </sheetViews>
  <sheetFormatPr defaultRowHeight="12.75"/>
  <cols>
    <col min="1" max="1" width="6" style="123" customWidth="1"/>
    <col min="2" max="4" width="7.140625" style="124" customWidth="1"/>
    <col min="5" max="7" width="8.5703125" style="124" customWidth="1"/>
    <col min="8" max="8" width="7.28515625" style="124" customWidth="1"/>
    <col min="9" max="10" width="7.42578125" style="124" customWidth="1"/>
    <col min="11" max="13" width="8.7109375" style="124" customWidth="1"/>
    <col min="14" max="14" width="7.42578125" style="124" customWidth="1"/>
    <col min="15" max="16" width="4.7109375" style="124" customWidth="1"/>
    <col min="17" max="17" width="5.5703125" style="124" customWidth="1"/>
    <col min="18" max="19" width="4.7109375" style="124" customWidth="1"/>
    <col min="20" max="22" width="9.140625" style="124" customWidth="1"/>
    <col min="23" max="31" width="8.28515625" style="124" customWidth="1"/>
    <col min="32" max="34" width="7.42578125" style="124" customWidth="1"/>
    <col min="35" max="37" width="6.28515625" style="124" customWidth="1"/>
    <col min="38" max="43" width="7.140625" style="124" customWidth="1"/>
    <col min="44" max="44" width="8.42578125" style="124" customWidth="1"/>
    <col min="45" max="46" width="7.42578125" style="124" customWidth="1"/>
    <col min="47" max="47" width="6" style="124" customWidth="1"/>
    <col min="48" max="49" width="5.28515625" style="124" customWidth="1"/>
    <col min="50" max="52" width="6" style="124" customWidth="1"/>
    <col min="53" max="55" width="5.85546875" style="124" customWidth="1"/>
    <col min="56" max="58" width="7.42578125" style="124" customWidth="1"/>
    <col min="59" max="61" width="7.5703125" style="124" customWidth="1"/>
    <col min="62" max="62" width="9.42578125" style="124" customWidth="1"/>
    <col min="63" max="64" width="7.140625" style="124" customWidth="1"/>
    <col min="65" max="65" width="6.5703125" style="124" customWidth="1"/>
    <col min="66" max="67" width="6" style="124" customWidth="1"/>
    <col min="68" max="68" width="7.42578125" style="124" customWidth="1"/>
    <col min="69" max="69" width="6" style="124" customWidth="1"/>
    <col min="70" max="70" width="8.140625" style="124" customWidth="1"/>
    <col min="71" max="72" width="6" style="124" customWidth="1"/>
    <col min="73" max="73" width="5.85546875" style="124" customWidth="1"/>
    <col min="74" max="74" width="8.28515625" style="124" customWidth="1"/>
    <col min="75" max="75" width="7.5703125" style="124" customWidth="1"/>
    <col min="76" max="76" width="7.42578125" style="124" customWidth="1"/>
    <col min="77" max="77" width="6.42578125" style="124" customWidth="1"/>
    <col min="78" max="78" width="7.5703125" style="124" customWidth="1"/>
    <col min="79" max="79" width="7.42578125" style="124" customWidth="1"/>
    <col min="80" max="82" width="5.5703125" style="124" customWidth="1"/>
    <col min="83" max="85" width="8.28515625" style="33" customWidth="1"/>
    <col min="86" max="88" width="8.42578125" style="33" customWidth="1"/>
    <col min="89" max="91" width="9" style="33" customWidth="1"/>
    <col min="92" max="94" width="9.28515625" style="33" customWidth="1"/>
    <col min="95" max="95" width="6.7109375" style="33" customWidth="1"/>
    <col min="96" max="97" width="5.7109375" style="33" customWidth="1"/>
    <col min="98" max="100" width="6" style="33" customWidth="1"/>
    <col min="101" max="101" width="8.28515625" style="33" customWidth="1"/>
    <col min="102" max="103" width="7.5703125" style="33" customWidth="1"/>
    <col min="104" max="106" width="6.140625" style="33" customWidth="1"/>
    <col min="107" max="109" width="7.5703125" style="33" customWidth="1"/>
    <col min="110" max="110" width="6.85546875" style="33" customWidth="1"/>
    <col min="111" max="111" width="8.7109375" style="33" customWidth="1"/>
    <col min="112" max="112" width="8.28515625" style="33" customWidth="1"/>
    <col min="113" max="116" width="6.5703125" style="33" customWidth="1"/>
    <col min="117" max="118" width="6" style="33" customWidth="1"/>
    <col min="119" max="121" width="7.7109375" style="33" customWidth="1"/>
    <col min="122" max="124" width="7.85546875" style="33" hidden="1" customWidth="1"/>
    <col min="125" max="125" width="7.7109375" style="33" customWidth="1"/>
    <col min="126" max="127" width="6.140625" style="33" customWidth="1"/>
    <col min="128" max="128" width="10.5703125" style="33" customWidth="1"/>
    <col min="129" max="129" width="10.140625" style="33" bestFit="1" customWidth="1"/>
    <col min="130" max="130" width="10.28515625" style="33" customWidth="1"/>
    <col min="131" max="16384" width="9.140625" style="33"/>
  </cols>
  <sheetData>
    <row r="2" spans="1:130" s="120" customFormat="1">
      <c r="A2" s="119"/>
      <c r="B2" s="665" t="s">
        <v>33</v>
      </c>
      <c r="C2" s="668"/>
      <c r="D2" s="666"/>
      <c r="E2" s="665" t="s">
        <v>384</v>
      </c>
      <c r="F2" s="668"/>
      <c r="G2" s="666"/>
      <c r="H2" s="665" t="s">
        <v>38</v>
      </c>
      <c r="I2" s="668"/>
      <c r="J2" s="666"/>
      <c r="K2" s="665" t="s">
        <v>570</v>
      </c>
      <c r="L2" s="668"/>
      <c r="M2" s="666"/>
      <c r="N2" s="665" t="s">
        <v>379</v>
      </c>
      <c r="O2" s="668"/>
      <c r="P2" s="666"/>
      <c r="Q2" s="665" t="s">
        <v>41</v>
      </c>
      <c r="R2" s="668"/>
      <c r="S2" s="666"/>
      <c r="T2" s="665" t="s">
        <v>704</v>
      </c>
      <c r="U2" s="668"/>
      <c r="V2" s="666"/>
      <c r="W2" s="665" t="s">
        <v>377</v>
      </c>
      <c r="X2" s="668"/>
      <c r="Y2" s="666"/>
      <c r="Z2" s="665" t="s">
        <v>543</v>
      </c>
      <c r="AA2" s="668"/>
      <c r="AB2" s="666"/>
      <c r="AC2" s="665" t="s">
        <v>580</v>
      </c>
      <c r="AD2" s="668"/>
      <c r="AE2" s="666"/>
      <c r="AF2" s="665" t="s">
        <v>549</v>
      </c>
      <c r="AG2" s="668"/>
      <c r="AH2" s="666"/>
      <c r="AI2" s="665" t="s">
        <v>43</v>
      </c>
      <c r="AJ2" s="668"/>
      <c r="AK2" s="666"/>
      <c r="AL2" s="665" t="s">
        <v>550</v>
      </c>
      <c r="AM2" s="668"/>
      <c r="AN2" s="666"/>
      <c r="AO2" s="665" t="s">
        <v>697</v>
      </c>
      <c r="AP2" s="668"/>
      <c r="AQ2" s="666"/>
      <c r="AR2" s="665" t="s">
        <v>542</v>
      </c>
      <c r="AS2" s="668"/>
      <c r="AT2" s="666"/>
      <c r="AU2" s="665" t="s">
        <v>702</v>
      </c>
      <c r="AV2" s="668"/>
      <c r="AW2" s="666"/>
      <c r="AX2" s="665" t="s">
        <v>703</v>
      </c>
      <c r="AY2" s="668"/>
      <c r="AZ2" s="666"/>
      <c r="BA2" s="665" t="s">
        <v>591</v>
      </c>
      <c r="BB2" s="668"/>
      <c r="BC2" s="666"/>
      <c r="BD2" s="665" t="s">
        <v>593</v>
      </c>
      <c r="BE2" s="668"/>
      <c r="BF2" s="666"/>
      <c r="BG2" s="665" t="s">
        <v>595</v>
      </c>
      <c r="BH2" s="668"/>
      <c r="BI2" s="666"/>
      <c r="BJ2" s="665" t="s">
        <v>707</v>
      </c>
      <c r="BK2" s="668"/>
      <c r="BL2" s="666"/>
      <c r="BM2" s="665" t="s">
        <v>44</v>
      </c>
      <c r="BN2" s="668"/>
      <c r="BO2" s="666"/>
      <c r="BP2" s="665" t="s">
        <v>1376</v>
      </c>
      <c r="BQ2" s="668"/>
      <c r="BR2" s="666"/>
      <c r="BS2" s="665" t="s">
        <v>1075</v>
      </c>
      <c r="BT2" s="668"/>
      <c r="BU2" s="666"/>
      <c r="BV2" s="665" t="s">
        <v>705</v>
      </c>
      <c r="BW2" s="668"/>
      <c r="BX2" s="666"/>
      <c r="BY2" s="665" t="s">
        <v>1408</v>
      </c>
      <c r="BZ2" s="668"/>
      <c r="CA2" s="666"/>
      <c r="CB2" s="665" t="s">
        <v>1022</v>
      </c>
      <c r="CC2" s="668"/>
      <c r="CD2" s="666"/>
      <c r="CE2" s="665" t="s">
        <v>47</v>
      </c>
      <c r="CF2" s="668"/>
      <c r="CG2" s="666"/>
      <c r="CH2" s="665" t="s">
        <v>706</v>
      </c>
      <c r="CI2" s="668"/>
      <c r="CJ2" s="666"/>
      <c r="CK2" s="665" t="s">
        <v>539</v>
      </c>
      <c r="CL2" s="668"/>
      <c r="CM2" s="666"/>
      <c r="CN2" s="665" t="s">
        <v>544</v>
      </c>
      <c r="CO2" s="668"/>
      <c r="CP2" s="666"/>
      <c r="CQ2" s="665" t="s">
        <v>731</v>
      </c>
      <c r="CR2" s="668"/>
      <c r="CS2" s="666"/>
      <c r="CT2" s="665" t="s">
        <v>540</v>
      </c>
      <c r="CU2" s="668"/>
      <c r="CV2" s="666"/>
      <c r="CW2" s="665" t="s">
        <v>698</v>
      </c>
      <c r="CX2" s="668"/>
      <c r="CY2" s="666"/>
      <c r="CZ2" s="665" t="s">
        <v>882</v>
      </c>
      <c r="DA2" s="668"/>
      <c r="DB2" s="666"/>
      <c r="DC2" s="665" t="s">
        <v>693</v>
      </c>
      <c r="DD2" s="668"/>
      <c r="DE2" s="666"/>
      <c r="DF2" s="665" t="s">
        <v>696</v>
      </c>
      <c r="DG2" s="668"/>
      <c r="DH2" s="666"/>
      <c r="DI2" s="665" t="s">
        <v>1021</v>
      </c>
      <c r="DJ2" s="668"/>
      <c r="DK2" s="666"/>
      <c r="DL2" s="665" t="s">
        <v>541</v>
      </c>
      <c r="DM2" s="668"/>
      <c r="DN2" s="666"/>
      <c r="DO2" s="665" t="s">
        <v>51</v>
      </c>
      <c r="DP2" s="668"/>
      <c r="DQ2" s="666"/>
      <c r="DR2" s="665" t="s">
        <v>699</v>
      </c>
      <c r="DS2" s="668"/>
      <c r="DT2" s="666"/>
      <c r="DU2" s="665" t="s">
        <v>701</v>
      </c>
      <c r="DV2" s="668"/>
      <c r="DW2" s="666"/>
      <c r="DX2" s="665" t="s">
        <v>397</v>
      </c>
      <c r="DY2" s="668"/>
      <c r="DZ2" s="666"/>
    </row>
    <row r="3" spans="1:130" s="120" customFormat="1">
      <c r="A3" s="119"/>
      <c r="B3" s="427" t="s">
        <v>1208</v>
      </c>
      <c r="C3" s="427" t="s">
        <v>1209</v>
      </c>
      <c r="D3" s="427" t="s">
        <v>1210</v>
      </c>
      <c r="E3" s="427" t="s">
        <v>1208</v>
      </c>
      <c r="F3" s="427" t="s">
        <v>1209</v>
      </c>
      <c r="G3" s="427" t="s">
        <v>1210</v>
      </c>
      <c r="H3" s="427" t="s">
        <v>1208</v>
      </c>
      <c r="I3" s="427" t="s">
        <v>1209</v>
      </c>
      <c r="J3" s="427" t="s">
        <v>1210</v>
      </c>
      <c r="K3" s="427" t="s">
        <v>1208</v>
      </c>
      <c r="L3" s="427" t="s">
        <v>1209</v>
      </c>
      <c r="M3" s="427" t="s">
        <v>1210</v>
      </c>
      <c r="N3" s="427" t="s">
        <v>1208</v>
      </c>
      <c r="O3" s="427" t="s">
        <v>1209</v>
      </c>
      <c r="P3" s="427" t="s">
        <v>1210</v>
      </c>
      <c r="Q3" s="427" t="s">
        <v>1208</v>
      </c>
      <c r="R3" s="427" t="s">
        <v>1209</v>
      </c>
      <c r="S3" s="427" t="s">
        <v>1210</v>
      </c>
      <c r="T3" s="427" t="s">
        <v>1208</v>
      </c>
      <c r="U3" s="427" t="s">
        <v>1209</v>
      </c>
      <c r="V3" s="427" t="s">
        <v>1210</v>
      </c>
      <c r="W3" s="427" t="s">
        <v>1208</v>
      </c>
      <c r="X3" s="427" t="s">
        <v>1209</v>
      </c>
      <c r="Y3" s="427" t="s">
        <v>1210</v>
      </c>
      <c r="Z3" s="427" t="s">
        <v>1208</v>
      </c>
      <c r="AA3" s="427" t="s">
        <v>1209</v>
      </c>
      <c r="AB3" s="427" t="s">
        <v>1210</v>
      </c>
      <c r="AC3" s="427" t="s">
        <v>1208</v>
      </c>
      <c r="AD3" s="427" t="s">
        <v>1209</v>
      </c>
      <c r="AE3" s="427" t="s">
        <v>1210</v>
      </c>
      <c r="AF3" s="427" t="s">
        <v>1208</v>
      </c>
      <c r="AG3" s="427" t="s">
        <v>1209</v>
      </c>
      <c r="AH3" s="427" t="s">
        <v>1210</v>
      </c>
      <c r="AI3" s="427" t="s">
        <v>1208</v>
      </c>
      <c r="AJ3" s="427" t="s">
        <v>1209</v>
      </c>
      <c r="AK3" s="427" t="s">
        <v>1210</v>
      </c>
      <c r="AL3" s="427" t="s">
        <v>1208</v>
      </c>
      <c r="AM3" s="427" t="s">
        <v>1209</v>
      </c>
      <c r="AN3" s="427" t="s">
        <v>1210</v>
      </c>
      <c r="AO3" s="427" t="s">
        <v>1208</v>
      </c>
      <c r="AP3" s="427" t="s">
        <v>1209</v>
      </c>
      <c r="AQ3" s="427" t="s">
        <v>1210</v>
      </c>
      <c r="AR3" s="427" t="s">
        <v>1208</v>
      </c>
      <c r="AS3" s="427" t="s">
        <v>1209</v>
      </c>
      <c r="AT3" s="427" t="s">
        <v>1210</v>
      </c>
      <c r="AU3" s="427" t="s">
        <v>1208</v>
      </c>
      <c r="AV3" s="427" t="s">
        <v>1209</v>
      </c>
      <c r="AW3" s="427" t="s">
        <v>1210</v>
      </c>
      <c r="AX3" s="427" t="s">
        <v>1208</v>
      </c>
      <c r="AY3" s="427" t="s">
        <v>1209</v>
      </c>
      <c r="AZ3" s="427" t="s">
        <v>1210</v>
      </c>
      <c r="BA3" s="427" t="s">
        <v>1208</v>
      </c>
      <c r="BB3" s="427" t="s">
        <v>1209</v>
      </c>
      <c r="BC3" s="427" t="s">
        <v>1210</v>
      </c>
      <c r="BD3" s="427" t="s">
        <v>1208</v>
      </c>
      <c r="BE3" s="427" t="s">
        <v>1209</v>
      </c>
      <c r="BF3" s="427" t="s">
        <v>1210</v>
      </c>
      <c r="BG3" s="427" t="s">
        <v>1208</v>
      </c>
      <c r="BH3" s="427" t="s">
        <v>1209</v>
      </c>
      <c r="BI3" s="427" t="s">
        <v>1210</v>
      </c>
      <c r="BJ3" s="427" t="s">
        <v>1208</v>
      </c>
      <c r="BK3" s="427" t="s">
        <v>1209</v>
      </c>
      <c r="BL3" s="427" t="s">
        <v>1210</v>
      </c>
      <c r="BM3" s="427" t="s">
        <v>1208</v>
      </c>
      <c r="BN3" s="427" t="s">
        <v>1209</v>
      </c>
      <c r="BO3" s="427" t="s">
        <v>1210</v>
      </c>
      <c r="BP3" s="427" t="s">
        <v>1208</v>
      </c>
      <c r="BQ3" s="427" t="s">
        <v>1209</v>
      </c>
      <c r="BR3" s="427" t="s">
        <v>1210</v>
      </c>
      <c r="BS3" s="427" t="s">
        <v>1208</v>
      </c>
      <c r="BT3" s="427" t="s">
        <v>1209</v>
      </c>
      <c r="BU3" s="427" t="s">
        <v>1210</v>
      </c>
      <c r="BV3" s="427" t="s">
        <v>1208</v>
      </c>
      <c r="BW3" s="427" t="s">
        <v>1209</v>
      </c>
      <c r="BX3" s="427" t="s">
        <v>1210</v>
      </c>
      <c r="BY3" s="427" t="s">
        <v>1208</v>
      </c>
      <c r="BZ3" s="427" t="s">
        <v>1209</v>
      </c>
      <c r="CA3" s="427" t="s">
        <v>1210</v>
      </c>
      <c r="CB3" s="427" t="s">
        <v>1208</v>
      </c>
      <c r="CC3" s="427" t="s">
        <v>1209</v>
      </c>
      <c r="CD3" s="427" t="s">
        <v>1210</v>
      </c>
      <c r="CE3" s="427" t="s">
        <v>1208</v>
      </c>
      <c r="CF3" s="427" t="s">
        <v>1209</v>
      </c>
      <c r="CG3" s="427" t="s">
        <v>1210</v>
      </c>
      <c r="CH3" s="427" t="s">
        <v>1208</v>
      </c>
      <c r="CI3" s="427" t="s">
        <v>1209</v>
      </c>
      <c r="CJ3" s="427" t="s">
        <v>1210</v>
      </c>
      <c r="CK3" s="427" t="s">
        <v>1208</v>
      </c>
      <c r="CL3" s="427" t="s">
        <v>1209</v>
      </c>
      <c r="CM3" s="427" t="s">
        <v>1210</v>
      </c>
      <c r="CN3" s="427" t="s">
        <v>1208</v>
      </c>
      <c r="CO3" s="427" t="s">
        <v>1209</v>
      </c>
      <c r="CP3" s="427" t="s">
        <v>1210</v>
      </c>
      <c r="CQ3" s="427" t="s">
        <v>1208</v>
      </c>
      <c r="CR3" s="427" t="s">
        <v>1209</v>
      </c>
      <c r="CS3" s="427" t="s">
        <v>1210</v>
      </c>
      <c r="CT3" s="427" t="s">
        <v>1208</v>
      </c>
      <c r="CU3" s="427" t="s">
        <v>1209</v>
      </c>
      <c r="CV3" s="427" t="s">
        <v>1210</v>
      </c>
      <c r="CW3" s="427" t="s">
        <v>1208</v>
      </c>
      <c r="CX3" s="427" t="s">
        <v>1209</v>
      </c>
      <c r="CY3" s="427" t="s">
        <v>1210</v>
      </c>
      <c r="CZ3" s="427" t="s">
        <v>1208</v>
      </c>
      <c r="DA3" s="427" t="s">
        <v>1209</v>
      </c>
      <c r="DB3" s="427" t="s">
        <v>1210</v>
      </c>
      <c r="DC3" s="427" t="s">
        <v>1208</v>
      </c>
      <c r="DD3" s="427" t="s">
        <v>1209</v>
      </c>
      <c r="DE3" s="427" t="s">
        <v>1210</v>
      </c>
      <c r="DF3" s="427" t="s">
        <v>1208</v>
      </c>
      <c r="DG3" s="427" t="s">
        <v>1209</v>
      </c>
      <c r="DH3" s="427" t="s">
        <v>1210</v>
      </c>
      <c r="DI3" s="427" t="s">
        <v>1208</v>
      </c>
      <c r="DJ3" s="427" t="s">
        <v>1209</v>
      </c>
      <c r="DK3" s="427" t="s">
        <v>1210</v>
      </c>
      <c r="DL3" s="427" t="s">
        <v>1208</v>
      </c>
      <c r="DM3" s="427" t="s">
        <v>1209</v>
      </c>
      <c r="DN3" s="427" t="s">
        <v>1210</v>
      </c>
      <c r="DO3" s="427" t="s">
        <v>1208</v>
      </c>
      <c r="DP3" s="427" t="s">
        <v>1209</v>
      </c>
      <c r="DQ3" s="427" t="s">
        <v>1210</v>
      </c>
      <c r="DR3" s="427" t="s">
        <v>1208</v>
      </c>
      <c r="DS3" s="427" t="s">
        <v>1209</v>
      </c>
      <c r="DT3" s="427" t="s">
        <v>1210</v>
      </c>
      <c r="DU3" s="427" t="s">
        <v>1208</v>
      </c>
      <c r="DV3" s="427" t="s">
        <v>1209</v>
      </c>
      <c r="DW3" s="427" t="s">
        <v>1210</v>
      </c>
      <c r="DX3" s="427" t="s">
        <v>1208</v>
      </c>
      <c r="DY3" s="427" t="s">
        <v>1209</v>
      </c>
      <c r="DZ3" s="428" t="s">
        <v>1210</v>
      </c>
    </row>
    <row r="4" spans="1:130">
      <c r="A4" s="121" t="s">
        <v>370</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v>571.6</v>
      </c>
      <c r="CL4" s="32">
        <v>571.6</v>
      </c>
      <c r="CM4" s="32">
        <v>571.6</v>
      </c>
      <c r="CN4" s="32">
        <v>1893</v>
      </c>
      <c r="CO4" s="32">
        <v>1893</v>
      </c>
      <c r="CP4" s="32">
        <v>1893</v>
      </c>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189">
        <f t="shared" ref="DX4:DX10" si="0">B4+E4+H4+K4+N4+Q4+T4+W4+Z4+AC4+AF4+AI4+AL4+AO4+AR4+AU4+AX4+BA4+BD4+BG4+BJ4+BM4+BP4+BS4+BV4+CB4+CE4+CH4+CK4+CN4+CQ4+CT4+CW4+CZ4+DC4+DF4+DI4+DL4+DO4+DR4+DU4</f>
        <v>2464.6</v>
      </c>
      <c r="DY4" s="189">
        <f t="shared" ref="DY4:DY10" si="1">C4+F4+I4+L4+O4+R4+U4+X4+AA4+AD4+AG4+AJ4+AM4+AP4+AS4+AV4+AY4+BB4+BE4+BH4+BK4+BN4+BQ4+BT4+BW4+CC4+CF4+CI4+CL4+CO4+CR4+CU4+CX4+DA4+DD4+DG4+DJ4+DM4+DP4+DS4+DV4</f>
        <v>2464.6</v>
      </c>
      <c r="DZ4" s="189">
        <f t="shared" ref="DZ4:DZ10" si="2">D4+G4+J4+M4+P4+S4+V4+Y4+AB4+AE4+AH4+AK4+AN4+AQ4+AT4+AW4+AZ4+BC4+BF4+BI4+BL4+BO4+BR4+BU4+BX4+CD4+CG4+CJ4+CM4+CP4+CS4+CV4+CY4+DB4+DE4+DH4+DK4+DN4+DQ4+DT4+DW4</f>
        <v>2464.6</v>
      </c>
    </row>
    <row r="5" spans="1:130">
      <c r="A5" s="121" t="s">
        <v>371</v>
      </c>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v>895.1</v>
      </c>
      <c r="CL5" s="32">
        <v>896.6</v>
      </c>
      <c r="CM5" s="32">
        <v>898.2</v>
      </c>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189">
        <f t="shared" si="0"/>
        <v>895.1</v>
      </c>
      <c r="DY5" s="189">
        <f t="shared" si="1"/>
        <v>896.6</v>
      </c>
      <c r="DZ5" s="189">
        <f t="shared" si="2"/>
        <v>898.2</v>
      </c>
    </row>
    <row r="6" spans="1:130">
      <c r="A6" s="121" t="s">
        <v>372</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f>72.6+874.028+22834.146</f>
        <v>23780.774000000001</v>
      </c>
      <c r="CL6" s="32">
        <f>0+754.028+22876.446</f>
        <v>23630.473999999998</v>
      </c>
      <c r="CM6" s="32">
        <f>0+754.028+22937.346</f>
        <v>23691.374</v>
      </c>
      <c r="CN6" s="32">
        <v>30629.4</v>
      </c>
      <c r="CO6" s="32">
        <v>30574.400000000001</v>
      </c>
      <c r="CP6" s="32">
        <v>30574.400000000001</v>
      </c>
      <c r="CQ6" s="32"/>
      <c r="CR6" s="32"/>
      <c r="CS6" s="32"/>
      <c r="CT6" s="32">
        <v>910</v>
      </c>
      <c r="CU6" s="32">
        <v>910</v>
      </c>
      <c r="CV6" s="32">
        <v>910</v>
      </c>
      <c r="CW6" s="32"/>
      <c r="CX6" s="32"/>
      <c r="CY6" s="32"/>
      <c r="CZ6" s="32"/>
      <c r="DA6" s="32"/>
      <c r="DB6" s="32"/>
      <c r="DC6" s="32">
        <v>966</v>
      </c>
      <c r="DD6" s="32">
        <v>966</v>
      </c>
      <c r="DE6" s="32">
        <v>966</v>
      </c>
      <c r="DF6" s="32"/>
      <c r="DG6" s="32"/>
      <c r="DH6" s="32"/>
      <c r="DI6" s="32"/>
      <c r="DJ6" s="32"/>
      <c r="DK6" s="32"/>
      <c r="DL6" s="32"/>
      <c r="DM6" s="32"/>
      <c r="DN6" s="32"/>
      <c r="DO6" s="32"/>
      <c r="DP6" s="32"/>
      <c r="DQ6" s="32"/>
      <c r="DR6" s="32"/>
      <c r="DS6" s="32"/>
      <c r="DT6" s="32"/>
      <c r="DU6" s="32"/>
      <c r="DV6" s="32"/>
      <c r="DW6" s="32"/>
      <c r="DX6" s="189">
        <f t="shared" si="0"/>
        <v>56286.173999999999</v>
      </c>
      <c r="DY6" s="189">
        <f t="shared" si="1"/>
        <v>56080.873999999996</v>
      </c>
      <c r="DZ6" s="189">
        <f t="shared" si="2"/>
        <v>56141.774000000005</v>
      </c>
    </row>
    <row r="7" spans="1:130" hidden="1">
      <c r="A7" s="121" t="s">
        <v>433</v>
      </c>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189">
        <f t="shared" si="0"/>
        <v>0</v>
      </c>
      <c r="DY7" s="189">
        <f t="shared" si="1"/>
        <v>0</v>
      </c>
      <c r="DZ7" s="189">
        <f t="shared" si="2"/>
        <v>0</v>
      </c>
    </row>
    <row r="8" spans="1:130">
      <c r="A8" s="121" t="s">
        <v>373</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f>5730.17+259.7</f>
        <v>5989.87</v>
      </c>
      <c r="CL8" s="32">
        <f>5639.7+259.7</f>
        <v>5899.4</v>
      </c>
      <c r="CM8" s="32">
        <f>3325.7+259.7</f>
        <v>3585.3999999999996</v>
      </c>
      <c r="CN8" s="32">
        <f>14556.5+860.1</f>
        <v>15416.6</v>
      </c>
      <c r="CO8" s="32">
        <f>14546.9+860.1</f>
        <v>15407</v>
      </c>
      <c r="CP8" s="32">
        <f>6659.1+860.1</f>
        <v>7519.2000000000007</v>
      </c>
      <c r="CQ8" s="32"/>
      <c r="CR8" s="32"/>
      <c r="CS8" s="32"/>
      <c r="CT8" s="32"/>
      <c r="CU8" s="32"/>
      <c r="CV8" s="32"/>
      <c r="CW8" s="32"/>
      <c r="CX8" s="32"/>
      <c r="CY8" s="32"/>
      <c r="CZ8" s="32"/>
      <c r="DA8" s="32"/>
      <c r="DB8" s="32"/>
      <c r="DC8" s="32">
        <v>975</v>
      </c>
      <c r="DD8" s="32">
        <v>105</v>
      </c>
      <c r="DE8" s="32">
        <v>1030</v>
      </c>
      <c r="DF8" s="32"/>
      <c r="DG8" s="32"/>
      <c r="DH8" s="32"/>
      <c r="DI8" s="32"/>
      <c r="DJ8" s="32"/>
      <c r="DK8" s="32"/>
      <c r="DL8" s="32"/>
      <c r="DM8" s="32"/>
      <c r="DN8" s="32"/>
      <c r="DO8" s="32"/>
      <c r="DP8" s="32"/>
      <c r="DQ8" s="32"/>
      <c r="DR8" s="32"/>
      <c r="DS8" s="32"/>
      <c r="DT8" s="32"/>
      <c r="DU8" s="32"/>
      <c r="DV8" s="32"/>
      <c r="DW8" s="32"/>
      <c r="DX8" s="189">
        <f t="shared" si="0"/>
        <v>22381.47</v>
      </c>
      <c r="DY8" s="189">
        <f t="shared" si="1"/>
        <v>21411.4</v>
      </c>
      <c r="DZ8" s="189">
        <f t="shared" si="2"/>
        <v>12134.6</v>
      </c>
    </row>
    <row r="9" spans="1:130" hidden="1">
      <c r="A9" s="121" t="s">
        <v>440</v>
      </c>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189">
        <f t="shared" si="0"/>
        <v>0</v>
      </c>
      <c r="DY9" s="189">
        <f t="shared" si="1"/>
        <v>0</v>
      </c>
      <c r="DZ9" s="189">
        <f t="shared" si="2"/>
        <v>0</v>
      </c>
    </row>
    <row r="10" spans="1:130">
      <c r="A10" s="121" t="s">
        <v>374</v>
      </c>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v>834.5</v>
      </c>
      <c r="DG10" s="32">
        <v>0</v>
      </c>
      <c r="DH10" s="32">
        <v>0</v>
      </c>
      <c r="DI10" s="32"/>
      <c r="DJ10" s="32"/>
      <c r="DK10" s="32"/>
      <c r="DL10" s="32"/>
      <c r="DM10" s="32"/>
      <c r="DN10" s="32"/>
      <c r="DO10" s="32"/>
      <c r="DP10" s="32"/>
      <c r="DQ10" s="32"/>
      <c r="DR10" s="32"/>
      <c r="DS10" s="32"/>
      <c r="DT10" s="32"/>
      <c r="DU10" s="32"/>
      <c r="DV10" s="32"/>
      <c r="DW10" s="32"/>
      <c r="DX10" s="189">
        <f t="shared" si="0"/>
        <v>834.5</v>
      </c>
      <c r="DY10" s="189">
        <f t="shared" si="1"/>
        <v>0</v>
      </c>
      <c r="DZ10" s="189">
        <f t="shared" si="2"/>
        <v>0</v>
      </c>
    </row>
    <row r="11" spans="1:130">
      <c r="A11" s="121" t="s">
        <v>375</v>
      </c>
      <c r="B11" s="32">
        <f>4169+5000+303</f>
        <v>9472</v>
      </c>
      <c r="C11" s="32">
        <f>3643.9+0+0</f>
        <v>3643.9</v>
      </c>
      <c r="D11" s="32">
        <v>3682.3</v>
      </c>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f>2222.5+30.5</f>
        <v>2253</v>
      </c>
      <c r="AP11" s="32">
        <f>2388.6+31.8</f>
        <v>2420.4</v>
      </c>
      <c r="AQ11" s="32">
        <f>2395+33</f>
        <v>2428</v>
      </c>
      <c r="AR11" s="32"/>
      <c r="AS11" s="32"/>
      <c r="AT11" s="32"/>
      <c r="AU11" s="32"/>
      <c r="AV11" s="32"/>
      <c r="AW11" s="32"/>
      <c r="AX11" s="32"/>
      <c r="AY11" s="32"/>
      <c r="AZ11" s="32"/>
      <c r="BA11" s="32"/>
      <c r="BB11" s="32"/>
      <c r="BC11" s="32"/>
      <c r="BD11" s="32">
        <v>1878.8</v>
      </c>
      <c r="BE11" s="32">
        <v>2080.4</v>
      </c>
      <c r="BF11" s="32">
        <v>2080.4</v>
      </c>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f>2823.8+8522.55</f>
        <v>11346.349999999999</v>
      </c>
      <c r="CX11" s="32">
        <f>0+8471.3</f>
        <v>8471.2999999999993</v>
      </c>
      <c r="CY11" s="32">
        <f>0+8525.2</f>
        <v>8525.2000000000007</v>
      </c>
      <c r="CZ11" s="32"/>
      <c r="DA11" s="32"/>
      <c r="DB11" s="32"/>
      <c r="DC11" s="32">
        <f>160+200</f>
        <v>360</v>
      </c>
      <c r="DD11" s="32">
        <f>160+44</f>
        <v>204</v>
      </c>
      <c r="DE11" s="32">
        <f>160+176</f>
        <v>336</v>
      </c>
      <c r="DF11" s="32">
        <v>0</v>
      </c>
      <c r="DG11" s="32">
        <v>13211.8</v>
      </c>
      <c r="DH11" s="32">
        <v>26615.1</v>
      </c>
      <c r="DI11" s="32">
        <f>127.034+15</f>
        <v>142.03399999999999</v>
      </c>
      <c r="DJ11" s="32">
        <f>127.034+15</f>
        <v>142.03399999999999</v>
      </c>
      <c r="DK11" s="32">
        <f>127.034+15</f>
        <v>142.03399999999999</v>
      </c>
      <c r="DL11" s="32"/>
      <c r="DM11" s="32"/>
      <c r="DN11" s="32"/>
      <c r="DO11" s="32"/>
      <c r="DP11" s="32"/>
      <c r="DQ11" s="32"/>
      <c r="DR11" s="32"/>
      <c r="DS11" s="32"/>
      <c r="DT11" s="32"/>
      <c r="DU11" s="32">
        <v>189.38399999999999</v>
      </c>
      <c r="DV11" s="32">
        <v>189.38399999999999</v>
      </c>
      <c r="DW11" s="32">
        <v>189.38399999999999</v>
      </c>
      <c r="DX11" s="189">
        <f>B11+E11+H11+K11+N11+Q11+T11+W11+Z11+AC11+AF11+AI11+AL11+AO11+AR11+AU11+AX11+BA11+BD11+BG11+BJ11+BM11+BP11+BS11+BV11+CB11+CE11+CH11+CK11+CN11+CQ11+CT11+CW11+CZ11+DC11+DF11+DI11+DL11+DO11+DR11+DU11</f>
        <v>25641.567999999996</v>
      </c>
      <c r="DY11" s="189">
        <f>C11+F11+I11+L11+O11+R11+U11+X11+AA11+AD11+AG11+AJ11+AM11+AP11+AS11+AV11+AY11+BB11+BE11+BH11+BK11+BN11+BQ11+BT11+BW11+CC11+CF11+CI11+CL11+CO11+CR11+CU11+CX11+DA11+DD11+DG11+DJ11+DM11+DP11+DS11+DV11</f>
        <v>30363.217999999997</v>
      </c>
      <c r="DZ11" s="189">
        <f>D11+G11+J11+M11+P11+S11+V11+Y11+AB11+AE11+AH11+AK11+AN11+AQ11+AT11+AW11+AZ11+BC11+BF11+BI11+BL11+BO11+BR11+BU11+BX11+CD11+CG11+CJ11+CM11+CP11+CS11+CV11+CY11+DB11+DE11+DH11+DK11+DN11+DQ11+DT11+DW11</f>
        <v>43998.417999999998</v>
      </c>
    </row>
    <row r="12" spans="1:130" hidden="1">
      <c r="A12" s="121" t="s">
        <v>398</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189">
        <f t="shared" ref="DX12:DX22" si="3">B12+E12+H12+K12+N12+Q12+T12+W12+Z12+AC12+AF12+AI12+AL12+AO12+AR12+AU12+AX12+BA12+BD12+BG12+BJ12+BM12+BP12+BS12+BV12+CB12+CE12+CH12+CK12+CN12+CQ12+CT12+CW12+CZ12+DC12+DF12+DI12+DL12+DO12+DR12+DU12</f>
        <v>0</v>
      </c>
      <c r="DY12" s="189">
        <f t="shared" ref="DY12:DY22" si="4">C12+F12+I12+L12+O12+R12+U12+X12+AA12+AD12+AG12+AJ12+AM12+AP12+AS12+AV12+AY12+BB12+BE12+BH12+BK12+BN12+BQ12+BT12+BW12+CC12+CF12+CI12+CL12+CO12+CR12+CU12+CX12+DA12+DD12+DG12+DJ12+DM12+DP12+DS12+DV12</f>
        <v>0</v>
      </c>
      <c r="DZ12" s="189">
        <f t="shared" ref="DZ12:DZ22" si="5">D12+G12+J12+M12+P12+S12+V12+Y12+AB12+AE12+AH12+AK12+AN12+AQ12+AT12+AW12+AZ12+BC12+BF12+BI12+BL12+BO12+BR12+BU12+BX12+CD12+CG12+CJ12+CM12+CP12+CS12+CV12+CY12+DB12+DE12+DH12+DK12+DN12+DQ12+DT12+DW12</f>
        <v>0</v>
      </c>
    </row>
    <row r="13" spans="1:130" hidden="1">
      <c r="A13" s="121" t="s">
        <v>378</v>
      </c>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189">
        <f t="shared" si="3"/>
        <v>0</v>
      </c>
      <c r="DY13" s="189">
        <f t="shared" si="4"/>
        <v>0</v>
      </c>
      <c r="DZ13" s="189">
        <f t="shared" si="5"/>
        <v>0</v>
      </c>
    </row>
    <row r="14" spans="1:130">
      <c r="A14" s="121" t="s">
        <v>399</v>
      </c>
      <c r="B14" s="32"/>
      <c r="C14" s="32"/>
      <c r="D14" s="32"/>
      <c r="E14" s="32"/>
      <c r="F14" s="32"/>
      <c r="G14" s="32"/>
      <c r="H14" s="32"/>
      <c r="I14" s="32"/>
      <c r="J14" s="32"/>
      <c r="K14" s="32"/>
      <c r="L14" s="32"/>
      <c r="M14" s="32"/>
      <c r="N14" s="32"/>
      <c r="O14" s="32"/>
      <c r="P14" s="32"/>
      <c r="Q14" s="32">
        <v>35</v>
      </c>
      <c r="R14" s="32">
        <v>0</v>
      </c>
      <c r="S14" s="32">
        <v>0</v>
      </c>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189">
        <f t="shared" si="3"/>
        <v>35</v>
      </c>
      <c r="DY14" s="189">
        <f t="shared" si="4"/>
        <v>0</v>
      </c>
      <c r="DZ14" s="189">
        <f t="shared" si="5"/>
        <v>0</v>
      </c>
    </row>
    <row r="15" spans="1:130" hidden="1">
      <c r="A15" s="121" t="s">
        <v>401</v>
      </c>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189">
        <f t="shared" si="3"/>
        <v>0</v>
      </c>
      <c r="DY15" s="189">
        <f t="shared" si="4"/>
        <v>0</v>
      </c>
      <c r="DZ15" s="189">
        <f t="shared" si="5"/>
        <v>0</v>
      </c>
    </row>
    <row r="16" spans="1:130">
      <c r="A16" s="121" t="s">
        <v>380</v>
      </c>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v>355</v>
      </c>
      <c r="AY16" s="32">
        <v>355</v>
      </c>
      <c r="AZ16" s="32">
        <v>355</v>
      </c>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v>0</v>
      </c>
      <c r="CC16" s="32">
        <v>74</v>
      </c>
      <c r="CD16" s="32">
        <v>90.7</v>
      </c>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189">
        <f t="shared" si="3"/>
        <v>355</v>
      </c>
      <c r="DY16" s="189">
        <f t="shared" si="4"/>
        <v>429</v>
      </c>
      <c r="DZ16" s="189">
        <f t="shared" si="5"/>
        <v>445.7</v>
      </c>
    </row>
    <row r="17" spans="1:130">
      <c r="A17" s="121" t="s">
        <v>381</v>
      </c>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v>150</v>
      </c>
      <c r="AV17" s="32">
        <v>0</v>
      </c>
      <c r="AW17" s="32">
        <v>0</v>
      </c>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189">
        <f t="shared" si="3"/>
        <v>150</v>
      </c>
      <c r="DY17" s="189">
        <f t="shared" si="4"/>
        <v>0</v>
      </c>
      <c r="DZ17" s="189">
        <f t="shared" si="5"/>
        <v>0</v>
      </c>
    </row>
    <row r="18" spans="1:130">
      <c r="A18" s="121" t="s">
        <v>382</v>
      </c>
      <c r="B18" s="32"/>
      <c r="C18" s="32"/>
      <c r="D18" s="32"/>
      <c r="E18" s="32"/>
      <c r="F18" s="32"/>
      <c r="G18" s="32"/>
      <c r="H18" s="32"/>
      <c r="I18" s="32"/>
      <c r="J18" s="32"/>
      <c r="K18" s="32">
        <f>5916.2+16000</f>
        <v>21916.2</v>
      </c>
      <c r="L18" s="32">
        <f>0+16000</f>
        <v>16000</v>
      </c>
      <c r="M18" s="32">
        <f>0+16000</f>
        <v>16000</v>
      </c>
      <c r="N18" s="32">
        <v>4586.2</v>
      </c>
      <c r="O18" s="32">
        <v>0</v>
      </c>
      <c r="P18" s="32">
        <v>0</v>
      </c>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189">
        <f t="shared" si="3"/>
        <v>26502.400000000001</v>
      </c>
      <c r="DY18" s="189">
        <f t="shared" si="4"/>
        <v>16000</v>
      </c>
      <c r="DZ18" s="189">
        <f t="shared" si="5"/>
        <v>16000</v>
      </c>
    </row>
    <row r="19" spans="1:130">
      <c r="A19" s="121" t="s">
        <v>383</v>
      </c>
      <c r="B19" s="32"/>
      <c r="C19" s="32"/>
      <c r="D19" s="32"/>
      <c r="E19" s="32"/>
      <c r="F19" s="32"/>
      <c r="G19" s="32"/>
      <c r="H19" s="32">
        <v>3745.0140000000001</v>
      </c>
      <c r="I19" s="32">
        <v>6900</v>
      </c>
      <c r="J19" s="32">
        <v>6900</v>
      </c>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189">
        <f t="shared" si="3"/>
        <v>3745.0140000000001</v>
      </c>
      <c r="DY19" s="189">
        <f t="shared" si="4"/>
        <v>6900</v>
      </c>
      <c r="DZ19" s="189">
        <f t="shared" si="5"/>
        <v>6900</v>
      </c>
    </row>
    <row r="20" spans="1:130" hidden="1">
      <c r="A20" s="121" t="s">
        <v>724</v>
      </c>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189">
        <f t="shared" si="3"/>
        <v>0</v>
      </c>
      <c r="DY20" s="189">
        <f t="shared" si="4"/>
        <v>0</v>
      </c>
      <c r="DZ20" s="189">
        <f t="shared" si="5"/>
        <v>0</v>
      </c>
    </row>
    <row r="21" spans="1:130">
      <c r="A21" s="121" t="s">
        <v>385</v>
      </c>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v>550</v>
      </c>
      <c r="BB21" s="32">
        <v>300</v>
      </c>
      <c r="BC21" s="32">
        <v>300</v>
      </c>
      <c r="BD21" s="32"/>
      <c r="BE21" s="32"/>
      <c r="BF21" s="32"/>
      <c r="BG21" s="32"/>
      <c r="BH21" s="32"/>
      <c r="BI21" s="32"/>
      <c r="BJ21" s="32"/>
      <c r="BK21" s="32"/>
      <c r="BL21" s="32"/>
      <c r="BM21" s="32"/>
      <c r="BN21" s="32"/>
      <c r="BO21" s="32"/>
      <c r="BP21" s="32">
        <v>4546.32</v>
      </c>
      <c r="BQ21" s="32">
        <v>0</v>
      </c>
      <c r="BR21" s="32">
        <v>11942.64</v>
      </c>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v>112.2</v>
      </c>
      <c r="DM21" s="32">
        <v>0</v>
      </c>
      <c r="DN21" s="32">
        <v>0</v>
      </c>
      <c r="DO21" s="32"/>
      <c r="DP21" s="32"/>
      <c r="DQ21" s="32"/>
      <c r="DR21" s="32"/>
      <c r="DS21" s="32"/>
      <c r="DT21" s="32"/>
      <c r="DU21" s="32"/>
      <c r="DV21" s="32"/>
      <c r="DW21" s="32"/>
      <c r="DX21" s="189">
        <f t="shared" si="3"/>
        <v>5208.5199999999995</v>
      </c>
      <c r="DY21" s="189">
        <f t="shared" si="4"/>
        <v>300</v>
      </c>
      <c r="DZ21" s="189">
        <f t="shared" si="5"/>
        <v>12242.64</v>
      </c>
    </row>
    <row r="22" spans="1:130">
      <c r="A22" s="121" t="s">
        <v>400</v>
      </c>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v>0</v>
      </c>
      <c r="BT22" s="32">
        <v>69.2</v>
      </c>
      <c r="BU22" s="32">
        <v>69.2</v>
      </c>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189">
        <f t="shared" si="3"/>
        <v>0</v>
      </c>
      <c r="DY22" s="189">
        <f t="shared" si="4"/>
        <v>69.2</v>
      </c>
      <c r="DZ22" s="189">
        <f t="shared" si="5"/>
        <v>69.2</v>
      </c>
    </row>
    <row r="23" spans="1:130">
      <c r="A23" s="121" t="s">
        <v>386</v>
      </c>
      <c r="B23" s="32"/>
      <c r="C23" s="32"/>
      <c r="D23" s="32"/>
      <c r="E23" s="32">
        <v>10269.927</v>
      </c>
      <c r="F23" s="32">
        <v>29803.200000000001</v>
      </c>
      <c r="G23" s="32">
        <v>29803.200000000001</v>
      </c>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189">
        <f>B23+E23+H23+K23+N23+Q23+T23+W23+Z23+AC23+AF23+AI23+AL23+AO23+AR23+AU23+AX23+BA23+BD23+BG23+BJ23+BM23+BP23+BS23+BV23+BY23+CB23+CE23+CH23+CK23+CN23+CQ23+CT23+CW23+CZ23+DC23+DF23+DI23+DL23+DO23+DR23+DU23</f>
        <v>10269.927</v>
      </c>
      <c r="DY23" s="189">
        <f t="shared" ref="DY23:DZ23" si="6">C23+F23+I23+L23+O23+R23+U23+X23+AA23+AD23+AG23+AJ23+AM23+AP23+AS23+AV23+AY23+BB23+BE23+BH23+BK23+BN23+BQ23+BT23+BW23+BZ23+CC23+CF23+CI23+CL23+CO23+CR23+CU23+CX23+DA23+DD23+DG23+DJ23+DM23+DP23+DS23+DV23</f>
        <v>29803.200000000001</v>
      </c>
      <c r="DZ23" s="189">
        <f t="shared" si="6"/>
        <v>29803.200000000001</v>
      </c>
    </row>
    <row r="24" spans="1:130">
      <c r="A24" s="121" t="s">
        <v>387</v>
      </c>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v>1625.24</v>
      </c>
      <c r="AM24" s="32">
        <v>1602.2</v>
      </c>
      <c r="AN24" s="32">
        <v>1602.2</v>
      </c>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f>578.19+0</f>
        <v>578.19000000000005</v>
      </c>
      <c r="BZ24" s="32">
        <f>0+1757.5</f>
        <v>1757.5</v>
      </c>
      <c r="CA24" s="32">
        <f>0+1588.815</f>
        <v>1588.8150000000001</v>
      </c>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189">
        <f>B24+E24+H24+K24+N24+Q24+T24+W24+Z24+AC24+AF24+AI24+AL24+AO24+AR24+AU24+AX24+BA24+BD24+BG24+BJ24+BM24+BP24+BS24+BV24+BY24+CB24+CE24+CH24+CK24+CN24+CQ24+CT24+CW24+CZ24+DC24+DF24+DI24+DL24+DO24+DR24+DU24</f>
        <v>2203.4300000000003</v>
      </c>
      <c r="DY24" s="189">
        <f t="shared" ref="DY24:DY42" si="7">C24+F24+I24+L24+O24+R24+U24+X24+AA24+AD24+AG24+AJ24+AM24+AP24+AS24+AV24+AY24+BB24+BE24+BH24+BK24+BN24+BQ24+BT24+BW24+BZ24+CC24+CF24+CI24+CL24+CO24+CR24+CU24+CX24+DA24+DD24+DG24+DJ24+DM24+DP24+DS24+DV24</f>
        <v>3359.7</v>
      </c>
      <c r="DZ24" s="189">
        <f t="shared" ref="DZ24:DZ42" si="8">D24+G24+J24+M24+P24+S24+V24+Y24+AB24+AE24+AH24+AK24+AN24+AQ24+AT24+AW24+AZ24+BC24+BF24+BI24+BL24+BO24+BR24+BU24+BX24+CA24+CD24+CG24+CJ24+CM24+CP24+CS24+CV24+CY24+DB24+DE24+DH24+DK24+DN24+DQ24+DT24+DW24</f>
        <v>3191.0150000000003</v>
      </c>
    </row>
    <row r="25" spans="1:130" hidden="1">
      <c r="A25" s="121" t="s">
        <v>485</v>
      </c>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189">
        <f t="shared" ref="DX25:DX42" si="9">B25+E25+H25+K25+N25+Q25+T25+W25+Z25+AC25+AF25+AI25+AL25+AO25+AR25+AU25+AX25+BA25+BD25+BG25+BJ25+BM25+BP25+BS25+BV25+BY25+CB25+CE25+CH25+CK25+CN25+CQ25+CT25+CW25+CZ25+DC25+DF25+DI25+DL25+DO25+DR25+DU25</f>
        <v>0</v>
      </c>
      <c r="DY25" s="189">
        <f t="shared" si="7"/>
        <v>0</v>
      </c>
      <c r="DZ25" s="189">
        <f t="shared" si="8"/>
        <v>0</v>
      </c>
    </row>
    <row r="26" spans="1:130">
      <c r="A26" s="121" t="s">
        <v>388</v>
      </c>
      <c r="B26" s="32"/>
      <c r="C26" s="32"/>
      <c r="D26" s="32"/>
      <c r="E26" s="32"/>
      <c r="F26" s="32"/>
      <c r="G26" s="32"/>
      <c r="H26" s="32"/>
      <c r="I26" s="32"/>
      <c r="J26" s="32"/>
      <c r="K26" s="32"/>
      <c r="L26" s="32"/>
      <c r="M26" s="32"/>
      <c r="N26" s="32"/>
      <c r="O26" s="32"/>
      <c r="P26" s="32"/>
      <c r="Q26" s="32"/>
      <c r="R26" s="32"/>
      <c r="S26" s="32"/>
      <c r="T26" s="32">
        <f>113753.013-1375.2</f>
        <v>112377.81300000001</v>
      </c>
      <c r="U26" s="32">
        <f>81880-1375.2</f>
        <v>80504.800000000003</v>
      </c>
      <c r="V26" s="32">
        <f>82381.4-1375.2</f>
        <v>81006.2</v>
      </c>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v>1375.2</v>
      </c>
      <c r="DD26" s="32">
        <v>1375.2</v>
      </c>
      <c r="DE26" s="32">
        <v>1375.2</v>
      </c>
      <c r="DF26" s="32"/>
      <c r="DG26" s="32"/>
      <c r="DH26" s="32"/>
      <c r="DI26" s="32"/>
      <c r="DJ26" s="32"/>
      <c r="DK26" s="32"/>
      <c r="DL26" s="32"/>
      <c r="DM26" s="32"/>
      <c r="DN26" s="32"/>
      <c r="DO26" s="32"/>
      <c r="DP26" s="32"/>
      <c r="DQ26" s="32"/>
      <c r="DR26" s="32"/>
      <c r="DS26" s="32"/>
      <c r="DT26" s="32"/>
      <c r="DU26" s="32"/>
      <c r="DV26" s="32"/>
      <c r="DW26" s="32"/>
      <c r="DX26" s="189">
        <f t="shared" si="9"/>
        <v>113753.01300000001</v>
      </c>
      <c r="DY26" s="189">
        <f t="shared" si="7"/>
        <v>81880</v>
      </c>
      <c r="DZ26" s="189">
        <f t="shared" si="8"/>
        <v>82381.399999999994</v>
      </c>
    </row>
    <row r="27" spans="1:130">
      <c r="A27" s="121" t="s">
        <v>389</v>
      </c>
      <c r="B27" s="32"/>
      <c r="C27" s="32"/>
      <c r="D27" s="32"/>
      <c r="E27" s="32"/>
      <c r="F27" s="32"/>
      <c r="G27" s="32"/>
      <c r="H27" s="32"/>
      <c r="I27" s="32"/>
      <c r="J27" s="32"/>
      <c r="K27" s="32"/>
      <c r="L27" s="32"/>
      <c r="M27" s="32"/>
      <c r="N27" s="32"/>
      <c r="O27" s="32"/>
      <c r="P27" s="32"/>
      <c r="Q27" s="32"/>
      <c r="R27" s="32"/>
      <c r="S27" s="32"/>
      <c r="T27" s="32">
        <v>33654.5</v>
      </c>
      <c r="U27" s="32">
        <v>33368.1</v>
      </c>
      <c r="V27" s="32">
        <v>33722.400000000001</v>
      </c>
      <c r="W27" s="32">
        <v>85414.611999999994</v>
      </c>
      <c r="X27" s="32">
        <v>66826.823999999993</v>
      </c>
      <c r="Y27" s="32">
        <v>72733.183999999994</v>
      </c>
      <c r="Z27" s="32">
        <v>87592.762000000002</v>
      </c>
      <c r="AA27" s="32">
        <v>78671.16</v>
      </c>
      <c r="AB27" s="32">
        <v>84256.42</v>
      </c>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v>3724.8</v>
      </c>
      <c r="DD27" s="32">
        <v>3724.8</v>
      </c>
      <c r="DE27" s="32">
        <v>3724.8</v>
      </c>
      <c r="DF27" s="32"/>
      <c r="DG27" s="32"/>
      <c r="DH27" s="32"/>
      <c r="DI27" s="32"/>
      <c r="DJ27" s="32"/>
      <c r="DK27" s="32"/>
      <c r="DL27" s="32"/>
      <c r="DM27" s="32"/>
      <c r="DN27" s="32"/>
      <c r="DO27" s="32"/>
      <c r="DP27" s="32"/>
      <c r="DQ27" s="32"/>
      <c r="DR27" s="32"/>
      <c r="DS27" s="32"/>
      <c r="DT27" s="32"/>
      <c r="DU27" s="32"/>
      <c r="DV27" s="32"/>
      <c r="DW27" s="32"/>
      <c r="DX27" s="189">
        <f t="shared" si="9"/>
        <v>210386.674</v>
      </c>
      <c r="DY27" s="189">
        <f t="shared" si="7"/>
        <v>182590.88399999999</v>
      </c>
      <c r="DZ27" s="189">
        <f t="shared" si="8"/>
        <v>194436.804</v>
      </c>
    </row>
    <row r="28" spans="1:130">
      <c r="A28" s="121" t="s">
        <v>441</v>
      </c>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f>90167.271-526.2-662.3</f>
        <v>88978.770999999993</v>
      </c>
      <c r="AD28" s="32">
        <f>46507.3-526.2-662.3</f>
        <v>45318.8</v>
      </c>
      <c r="AE28" s="32">
        <f>46630.2-526.2-662.3</f>
        <v>45441.7</v>
      </c>
      <c r="AF28" s="32"/>
      <c r="AG28" s="32"/>
      <c r="AH28" s="32"/>
      <c r="AI28" s="32">
        <v>526.20000000000005</v>
      </c>
      <c r="AJ28" s="32">
        <v>526.20000000000005</v>
      </c>
      <c r="AK28" s="32">
        <v>526.20000000000005</v>
      </c>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v>662.3</v>
      </c>
      <c r="DD28" s="32">
        <v>662.3</v>
      </c>
      <c r="DE28" s="32">
        <v>662.3</v>
      </c>
      <c r="DF28" s="32"/>
      <c r="DG28" s="32"/>
      <c r="DH28" s="32"/>
      <c r="DI28" s="32"/>
      <c r="DJ28" s="32"/>
      <c r="DK28" s="32"/>
      <c r="DL28" s="32"/>
      <c r="DM28" s="32"/>
      <c r="DN28" s="32"/>
      <c r="DO28" s="32"/>
      <c r="DP28" s="32"/>
      <c r="DQ28" s="32"/>
      <c r="DR28" s="32"/>
      <c r="DS28" s="32"/>
      <c r="DT28" s="32"/>
      <c r="DU28" s="32"/>
      <c r="DV28" s="32"/>
      <c r="DW28" s="32"/>
      <c r="DX28" s="189">
        <f t="shared" si="9"/>
        <v>90167.270999999993</v>
      </c>
      <c r="DY28" s="189">
        <f t="shared" si="7"/>
        <v>46507.3</v>
      </c>
      <c r="DZ28" s="189">
        <f t="shared" si="8"/>
        <v>46630.2</v>
      </c>
    </row>
    <row r="29" spans="1:130">
      <c r="A29" s="121" t="s">
        <v>881</v>
      </c>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v>345.6</v>
      </c>
      <c r="DA29" s="32">
        <v>186.2</v>
      </c>
      <c r="DB29" s="32">
        <v>194.2</v>
      </c>
      <c r="DC29" s="32"/>
      <c r="DD29" s="32"/>
      <c r="DE29" s="32"/>
      <c r="DF29" s="32"/>
      <c r="DG29" s="32"/>
      <c r="DH29" s="32"/>
      <c r="DI29" s="32"/>
      <c r="DJ29" s="32"/>
      <c r="DK29" s="32"/>
      <c r="DL29" s="32"/>
      <c r="DM29" s="32"/>
      <c r="DN29" s="32"/>
      <c r="DO29" s="32"/>
      <c r="DP29" s="32"/>
      <c r="DQ29" s="32"/>
      <c r="DR29" s="32"/>
      <c r="DS29" s="32"/>
      <c r="DT29" s="32"/>
      <c r="DU29" s="32"/>
      <c r="DV29" s="32"/>
      <c r="DW29" s="32"/>
      <c r="DX29" s="189">
        <f t="shared" si="9"/>
        <v>345.6</v>
      </c>
      <c r="DY29" s="189">
        <f t="shared" si="7"/>
        <v>186.2</v>
      </c>
      <c r="DZ29" s="189">
        <f t="shared" si="8"/>
        <v>194.2</v>
      </c>
    </row>
    <row r="30" spans="1:130">
      <c r="A30" s="121" t="s">
        <v>390</v>
      </c>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f>7914.6-300</f>
        <v>7614.6</v>
      </c>
      <c r="AG30" s="32">
        <f>7614.6</f>
        <v>7614.6</v>
      </c>
      <c r="AH30" s="32">
        <v>7614.6</v>
      </c>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v>300</v>
      </c>
      <c r="BN30" s="32">
        <v>0</v>
      </c>
      <c r="BO30" s="32">
        <v>0</v>
      </c>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189">
        <f t="shared" si="9"/>
        <v>7914.6</v>
      </c>
      <c r="DY30" s="189">
        <f t="shared" si="7"/>
        <v>7614.6</v>
      </c>
      <c r="DZ30" s="189">
        <f t="shared" si="8"/>
        <v>7614.6</v>
      </c>
    </row>
    <row r="31" spans="1:130">
      <c r="A31" s="121" t="s">
        <v>391</v>
      </c>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v>319.39999999999998</v>
      </c>
      <c r="AJ31" s="32">
        <v>319.39999999999998</v>
      </c>
      <c r="AK31" s="32">
        <v>319.39999999999998</v>
      </c>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v>5833.8320000000003</v>
      </c>
      <c r="CL31" s="32">
        <v>4492.7</v>
      </c>
      <c r="CM31" s="32">
        <v>4502.3999999999996</v>
      </c>
      <c r="CN31" s="32">
        <v>12494.9</v>
      </c>
      <c r="CO31" s="32">
        <v>13563.6</v>
      </c>
      <c r="CP31" s="32">
        <v>13563.6</v>
      </c>
      <c r="CQ31" s="32"/>
      <c r="CR31" s="32"/>
      <c r="CS31" s="32"/>
      <c r="CT31" s="32"/>
      <c r="CU31" s="32"/>
      <c r="CV31" s="32"/>
      <c r="CW31" s="32"/>
      <c r="CX31" s="32"/>
      <c r="CY31" s="32"/>
      <c r="CZ31" s="32"/>
      <c r="DA31" s="32"/>
      <c r="DB31" s="32"/>
      <c r="DC31" s="32">
        <v>250</v>
      </c>
      <c r="DD31" s="32">
        <v>250</v>
      </c>
      <c r="DE31" s="32">
        <v>250</v>
      </c>
      <c r="DF31" s="32"/>
      <c r="DG31" s="32"/>
      <c r="DH31" s="32"/>
      <c r="DI31" s="32"/>
      <c r="DJ31" s="32"/>
      <c r="DK31" s="32"/>
      <c r="DL31" s="32"/>
      <c r="DM31" s="32"/>
      <c r="DN31" s="32"/>
      <c r="DO31" s="32"/>
      <c r="DP31" s="32"/>
      <c r="DQ31" s="32"/>
      <c r="DR31" s="32"/>
      <c r="DS31" s="32"/>
      <c r="DT31" s="32"/>
      <c r="DU31" s="32"/>
      <c r="DV31" s="32"/>
      <c r="DW31" s="32"/>
      <c r="DX31" s="189">
        <f t="shared" si="9"/>
        <v>18898.131999999998</v>
      </c>
      <c r="DY31" s="189">
        <f t="shared" si="7"/>
        <v>18625.7</v>
      </c>
      <c r="DZ31" s="189">
        <f t="shared" si="8"/>
        <v>18635.400000000001</v>
      </c>
    </row>
    <row r="32" spans="1:130" s="122" customFormat="1">
      <c r="A32" s="121" t="s">
        <v>392</v>
      </c>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f>968.2+513</f>
        <v>1481.2</v>
      </c>
      <c r="AP32" s="32">
        <v>0</v>
      </c>
      <c r="AQ32" s="32">
        <v>0</v>
      </c>
      <c r="AR32" s="32">
        <f>31009.9+1818.4+79.381+14049.664+(2831.332/2)+(4569/2)+(1224.004/2)+(388.5/2)+413.934+(5.966/2)+76</f>
        <v>51956.68</v>
      </c>
      <c r="AS32" s="32">
        <f>1818.4+568.5/2+614.7/2</f>
        <v>2410</v>
      </c>
      <c r="AT32" s="32">
        <f>1818.4+568.5/2+568/2</f>
        <v>2386.65</v>
      </c>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f>20301.4+9039.523+2831.332/2+4569/2+129.596+1224.004/2+20.483+100+7445.7+388.5/2+241.7+5.966/2+103</f>
        <v>41890.803</v>
      </c>
      <c r="BW32" s="32">
        <f>7433.3+568.5/2+614.7/2</f>
        <v>8024.9000000000005</v>
      </c>
      <c r="BX32" s="32">
        <f>7514.8+568.5/2+568/2</f>
        <v>8083.05</v>
      </c>
      <c r="BY32" s="32"/>
      <c r="BZ32" s="32"/>
      <c r="CA32" s="32"/>
      <c r="CB32" s="32"/>
      <c r="CC32" s="32"/>
      <c r="CD32" s="32"/>
      <c r="CE32" s="32">
        <v>15605.3</v>
      </c>
      <c r="CF32" s="32">
        <v>15605.3</v>
      </c>
      <c r="CG32" s="32">
        <v>15605.3</v>
      </c>
      <c r="CH32" s="32">
        <f>7185.1+2276.6+4623.2+8183.9+4052.5+24118.1</f>
        <v>50439.4</v>
      </c>
      <c r="CI32" s="32">
        <f>7213.9+2227.5+4740.6+8115.3+4054.8+24118.1</f>
        <v>50470.2</v>
      </c>
      <c r="CJ32" s="32">
        <f>7305.4+2227.5+4768.3+8158.1+4124.5+24118.1</f>
        <v>50701.9</v>
      </c>
      <c r="CK32" s="32"/>
      <c r="CL32" s="32"/>
      <c r="CM32" s="32"/>
      <c r="CN32" s="32"/>
      <c r="CO32" s="32"/>
      <c r="CP32" s="32"/>
      <c r="CQ32" s="32"/>
      <c r="CR32" s="32"/>
      <c r="CS32" s="32"/>
      <c r="CT32" s="32"/>
      <c r="CU32" s="32"/>
      <c r="CV32" s="32"/>
      <c r="CW32" s="32"/>
      <c r="CX32" s="32"/>
      <c r="CY32" s="32"/>
      <c r="CZ32" s="32"/>
      <c r="DA32" s="32"/>
      <c r="DB32" s="32"/>
      <c r="DC32" s="32">
        <v>945</v>
      </c>
      <c r="DD32" s="32">
        <v>919.3</v>
      </c>
      <c r="DE32" s="32">
        <v>919.3</v>
      </c>
      <c r="DF32" s="32"/>
      <c r="DG32" s="32"/>
      <c r="DH32" s="32"/>
      <c r="DI32" s="32"/>
      <c r="DJ32" s="32"/>
      <c r="DK32" s="32"/>
      <c r="DL32" s="32"/>
      <c r="DM32" s="32"/>
      <c r="DN32" s="32"/>
      <c r="DO32" s="32"/>
      <c r="DP32" s="32"/>
      <c r="DQ32" s="32"/>
      <c r="DR32" s="32"/>
      <c r="DS32" s="32"/>
      <c r="DT32" s="32"/>
      <c r="DU32" s="32"/>
      <c r="DV32" s="32"/>
      <c r="DW32" s="32"/>
      <c r="DX32" s="189">
        <f>B32+E32+H32+K32+N32+Q32+T32+W32+Z32+AC32+AF32+AI32+AL32+AO32+AR32+AU32+AX32+BA32+BD32+BG32+BJ32+BM32+BP32+BS32+BV32+BY32+CB32+CE32+CH32+CK32+CN32+CQ32+CT32+CW32+CZ32+DC32+DF32+DI32+DL32+DO32+DR32+DU32</f>
        <v>162318.383</v>
      </c>
      <c r="DY32" s="189">
        <f t="shared" si="7"/>
        <v>77429.7</v>
      </c>
      <c r="DZ32" s="189">
        <f t="shared" si="8"/>
        <v>77696.2</v>
      </c>
    </row>
    <row r="33" spans="1:130">
      <c r="A33" s="121" t="s">
        <v>393</v>
      </c>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v>3140.3</v>
      </c>
      <c r="CL33" s="32">
        <v>3143.7</v>
      </c>
      <c r="CM33" s="32">
        <v>3147.3</v>
      </c>
      <c r="CN33" s="32">
        <v>7305</v>
      </c>
      <c r="CO33" s="32">
        <v>7305</v>
      </c>
      <c r="CP33" s="32">
        <v>7305</v>
      </c>
      <c r="CQ33" s="32"/>
      <c r="CR33" s="32"/>
      <c r="CS33" s="32"/>
      <c r="CT33" s="32"/>
      <c r="CU33" s="32"/>
      <c r="CV33" s="32"/>
      <c r="CW33" s="32"/>
      <c r="CX33" s="32"/>
      <c r="CY33" s="32"/>
      <c r="CZ33" s="32"/>
      <c r="DA33" s="32"/>
      <c r="DB33" s="32"/>
      <c r="DC33" s="32">
        <v>377.6</v>
      </c>
      <c r="DD33" s="32">
        <v>183.1</v>
      </c>
      <c r="DE33" s="32">
        <v>346.3</v>
      </c>
      <c r="DF33" s="32"/>
      <c r="DG33" s="32"/>
      <c r="DH33" s="32"/>
      <c r="DI33" s="32"/>
      <c r="DJ33" s="32"/>
      <c r="DK33" s="32"/>
      <c r="DL33" s="32"/>
      <c r="DM33" s="32"/>
      <c r="DN33" s="32"/>
      <c r="DO33" s="32"/>
      <c r="DP33" s="32"/>
      <c r="DQ33" s="32"/>
      <c r="DR33" s="32"/>
      <c r="DS33" s="32"/>
      <c r="DT33" s="32"/>
      <c r="DU33" s="32"/>
      <c r="DV33" s="32"/>
      <c r="DW33" s="32"/>
      <c r="DX33" s="189">
        <f t="shared" si="9"/>
        <v>10822.9</v>
      </c>
      <c r="DY33" s="189">
        <f t="shared" si="7"/>
        <v>10631.800000000001</v>
      </c>
      <c r="DZ33" s="189">
        <f t="shared" si="8"/>
        <v>10798.599999999999</v>
      </c>
    </row>
    <row r="34" spans="1:130">
      <c r="A34" s="121" t="s">
        <v>394</v>
      </c>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f>117.802+56.604+97.17</f>
        <v>271.57600000000002</v>
      </c>
      <c r="BT34" s="32">
        <v>0</v>
      </c>
      <c r="BU34" s="32">
        <v>0</v>
      </c>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f>1000+215+1540+1000</f>
        <v>3755</v>
      </c>
      <c r="DP34" s="32">
        <f>1500+300</f>
        <v>1800</v>
      </c>
      <c r="DQ34" s="32">
        <f>1500+300</f>
        <v>1800</v>
      </c>
      <c r="DR34" s="32"/>
      <c r="DS34" s="32"/>
      <c r="DT34" s="32"/>
      <c r="DU34" s="32"/>
      <c r="DV34" s="32"/>
      <c r="DW34" s="32"/>
      <c r="DX34" s="189">
        <f t="shared" si="9"/>
        <v>4026.576</v>
      </c>
      <c r="DY34" s="189">
        <f t="shared" si="7"/>
        <v>1800</v>
      </c>
      <c r="DZ34" s="189">
        <f t="shared" si="8"/>
        <v>1800</v>
      </c>
    </row>
    <row r="35" spans="1:130">
      <c r="A35" s="121" t="s">
        <v>376</v>
      </c>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f>79.603+453.6</f>
        <v>533.20299999999997</v>
      </c>
      <c r="BT35" s="32">
        <v>0</v>
      </c>
      <c r="BU35" s="32">
        <v>0</v>
      </c>
      <c r="BV35" s="32"/>
      <c r="BW35" s="32"/>
      <c r="BX35" s="32"/>
      <c r="BY35" s="32"/>
      <c r="BZ35" s="32"/>
      <c r="CA35" s="32"/>
      <c r="CB35" s="32"/>
      <c r="CC35" s="32"/>
      <c r="CD35" s="32"/>
      <c r="CE35" s="32"/>
      <c r="CF35" s="32"/>
      <c r="CG35" s="32"/>
      <c r="CH35" s="32"/>
      <c r="CI35" s="32"/>
      <c r="CJ35" s="32"/>
      <c r="CK35" s="32">
        <v>1.33</v>
      </c>
      <c r="CL35" s="32">
        <v>0.6</v>
      </c>
      <c r="CM35" s="32">
        <v>0.6</v>
      </c>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189">
        <f t="shared" si="9"/>
        <v>534.53300000000002</v>
      </c>
      <c r="DY35" s="189">
        <f t="shared" si="7"/>
        <v>0.6</v>
      </c>
      <c r="DZ35" s="189">
        <f t="shared" si="8"/>
        <v>0.6</v>
      </c>
    </row>
    <row r="36" spans="1:130">
      <c r="A36" s="121" t="s">
        <v>384</v>
      </c>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v>5.7130000000000001</v>
      </c>
      <c r="DP36" s="32">
        <v>0</v>
      </c>
      <c r="DQ36" s="32">
        <v>0</v>
      </c>
      <c r="DR36" s="32"/>
      <c r="DS36" s="32"/>
      <c r="DT36" s="32"/>
      <c r="DU36" s="32"/>
      <c r="DV36" s="32"/>
      <c r="DW36" s="32"/>
      <c r="DX36" s="189">
        <f t="shared" si="9"/>
        <v>5.7130000000000001</v>
      </c>
      <c r="DY36" s="189">
        <f t="shared" si="7"/>
        <v>0</v>
      </c>
      <c r="DZ36" s="189">
        <f t="shared" si="8"/>
        <v>0</v>
      </c>
    </row>
    <row r="37" spans="1:130">
      <c r="A37" s="121" t="s">
        <v>369</v>
      </c>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f>5649.2-49</f>
        <v>5600.2</v>
      </c>
      <c r="BH37" s="32">
        <f>5424.1-49</f>
        <v>5375.1</v>
      </c>
      <c r="BI37" s="32">
        <f>5424.1-49</f>
        <v>5375.1</v>
      </c>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v>49</v>
      </c>
      <c r="DD37" s="32">
        <v>49</v>
      </c>
      <c r="DE37" s="32">
        <v>49</v>
      </c>
      <c r="DF37" s="32"/>
      <c r="DG37" s="32"/>
      <c r="DH37" s="32"/>
      <c r="DI37" s="32"/>
      <c r="DJ37" s="32"/>
      <c r="DK37" s="32"/>
      <c r="DL37" s="32"/>
      <c r="DM37" s="32"/>
      <c r="DN37" s="32"/>
      <c r="DO37" s="32"/>
      <c r="DP37" s="32"/>
      <c r="DQ37" s="32"/>
      <c r="DR37" s="32"/>
      <c r="DS37" s="32"/>
      <c r="DT37" s="32"/>
      <c r="DU37" s="32"/>
      <c r="DV37" s="32"/>
      <c r="DW37" s="32"/>
      <c r="DX37" s="189">
        <f t="shared" si="9"/>
        <v>5649.2</v>
      </c>
      <c r="DY37" s="189">
        <f t="shared" si="7"/>
        <v>5424.1</v>
      </c>
      <c r="DZ37" s="189">
        <f t="shared" si="8"/>
        <v>5424.1</v>
      </c>
    </row>
    <row r="38" spans="1:130">
      <c r="A38" s="121" t="s">
        <v>395</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v>127037.19500000001</v>
      </c>
      <c r="BK38" s="32">
        <v>2207.1</v>
      </c>
      <c r="BL38" s="32">
        <v>2207.1</v>
      </c>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189">
        <f t="shared" si="9"/>
        <v>127037.19500000001</v>
      </c>
      <c r="DY38" s="189">
        <f t="shared" si="7"/>
        <v>2207.1</v>
      </c>
      <c r="DZ38" s="189">
        <f t="shared" si="8"/>
        <v>2207.1</v>
      </c>
    </row>
    <row r="39" spans="1:130" ht="12.75" customHeight="1">
      <c r="A39" s="121" t="s">
        <v>46</v>
      </c>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v>117</v>
      </c>
      <c r="BK39" s="32">
        <v>160.1</v>
      </c>
      <c r="BL39" s="32">
        <v>160.1</v>
      </c>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189">
        <f t="shared" si="9"/>
        <v>117</v>
      </c>
      <c r="DY39" s="189">
        <f t="shared" si="7"/>
        <v>160.1</v>
      </c>
      <c r="DZ39" s="189">
        <f t="shared" si="8"/>
        <v>160.1</v>
      </c>
    </row>
    <row r="40" spans="1:130">
      <c r="A40" s="121" t="s">
        <v>396</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v>70</v>
      </c>
      <c r="CR40" s="32">
        <v>0</v>
      </c>
      <c r="CS40" s="32">
        <v>0</v>
      </c>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189">
        <f t="shared" si="9"/>
        <v>70</v>
      </c>
      <c r="DY40" s="189">
        <f t="shared" si="7"/>
        <v>0</v>
      </c>
      <c r="DZ40" s="189">
        <f t="shared" si="8"/>
        <v>0</v>
      </c>
    </row>
    <row r="41" spans="1:130">
      <c r="A41" s="121" t="s">
        <v>49</v>
      </c>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189">
        <f t="shared" si="9"/>
        <v>0</v>
      </c>
      <c r="DY41" s="189">
        <f t="shared" si="7"/>
        <v>0</v>
      </c>
      <c r="DZ41" s="189">
        <f t="shared" si="8"/>
        <v>0</v>
      </c>
    </row>
    <row r="42" spans="1:130">
      <c r="A42" s="121" t="s">
        <v>50</v>
      </c>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189">
        <f t="shared" si="9"/>
        <v>0</v>
      </c>
      <c r="DY42" s="189">
        <f t="shared" si="7"/>
        <v>0</v>
      </c>
      <c r="DZ42" s="189">
        <f t="shared" si="8"/>
        <v>0</v>
      </c>
    </row>
    <row r="43" spans="1:130" s="122" customFormat="1">
      <c r="A43" s="121" t="s">
        <v>397</v>
      </c>
      <c r="B43" s="32">
        <f>SUM(B4:B42)</f>
        <v>9472</v>
      </c>
      <c r="C43" s="32">
        <f t="shared" ref="C43:BW43" si="10">SUM(C4:C42)</f>
        <v>3643.9</v>
      </c>
      <c r="D43" s="32">
        <f t="shared" si="10"/>
        <v>3682.3</v>
      </c>
      <c r="E43" s="32">
        <f t="shared" si="10"/>
        <v>10269.927</v>
      </c>
      <c r="F43" s="32">
        <f t="shared" si="10"/>
        <v>29803.200000000001</v>
      </c>
      <c r="G43" s="32">
        <f t="shared" si="10"/>
        <v>29803.200000000001</v>
      </c>
      <c r="H43" s="32">
        <f t="shared" si="10"/>
        <v>3745.0140000000001</v>
      </c>
      <c r="I43" s="32">
        <f t="shared" si="10"/>
        <v>6900</v>
      </c>
      <c r="J43" s="32">
        <f t="shared" si="10"/>
        <v>6900</v>
      </c>
      <c r="K43" s="32">
        <f t="shared" si="10"/>
        <v>21916.2</v>
      </c>
      <c r="L43" s="32">
        <f t="shared" si="10"/>
        <v>16000</v>
      </c>
      <c r="M43" s="32">
        <f t="shared" si="10"/>
        <v>16000</v>
      </c>
      <c r="N43" s="32">
        <f t="shared" si="10"/>
        <v>4586.2</v>
      </c>
      <c r="O43" s="32">
        <f t="shared" si="10"/>
        <v>0</v>
      </c>
      <c r="P43" s="32">
        <f t="shared" si="10"/>
        <v>0</v>
      </c>
      <c r="Q43" s="32">
        <f t="shared" si="10"/>
        <v>35</v>
      </c>
      <c r="R43" s="32">
        <f t="shared" si="10"/>
        <v>0</v>
      </c>
      <c r="S43" s="32">
        <f t="shared" si="10"/>
        <v>0</v>
      </c>
      <c r="T43" s="32">
        <f t="shared" si="10"/>
        <v>146032.31300000002</v>
      </c>
      <c r="U43" s="32">
        <f t="shared" si="10"/>
        <v>113872.9</v>
      </c>
      <c r="V43" s="32">
        <f t="shared" si="10"/>
        <v>114728.6</v>
      </c>
      <c r="W43" s="32">
        <f t="shared" si="10"/>
        <v>85414.611999999994</v>
      </c>
      <c r="X43" s="32">
        <f t="shared" si="10"/>
        <v>66826.823999999993</v>
      </c>
      <c r="Y43" s="32">
        <f t="shared" si="10"/>
        <v>72733.183999999994</v>
      </c>
      <c r="Z43" s="32">
        <f t="shared" si="10"/>
        <v>87592.762000000002</v>
      </c>
      <c r="AA43" s="32">
        <f t="shared" si="10"/>
        <v>78671.16</v>
      </c>
      <c r="AB43" s="32">
        <f t="shared" si="10"/>
        <v>84256.42</v>
      </c>
      <c r="AC43" s="32">
        <f t="shared" si="10"/>
        <v>88978.770999999993</v>
      </c>
      <c r="AD43" s="32">
        <f t="shared" si="10"/>
        <v>45318.8</v>
      </c>
      <c r="AE43" s="32">
        <f t="shared" si="10"/>
        <v>45441.7</v>
      </c>
      <c r="AF43" s="32">
        <f t="shared" si="10"/>
        <v>7614.6</v>
      </c>
      <c r="AG43" s="32">
        <f t="shared" si="10"/>
        <v>7614.6</v>
      </c>
      <c r="AH43" s="32">
        <f t="shared" si="10"/>
        <v>7614.6</v>
      </c>
      <c r="AI43" s="32">
        <f t="shared" si="10"/>
        <v>845.6</v>
      </c>
      <c r="AJ43" s="32">
        <f t="shared" si="10"/>
        <v>845.6</v>
      </c>
      <c r="AK43" s="32">
        <f t="shared" si="10"/>
        <v>845.6</v>
      </c>
      <c r="AL43" s="32">
        <f t="shared" si="10"/>
        <v>1625.24</v>
      </c>
      <c r="AM43" s="32">
        <f t="shared" si="10"/>
        <v>1602.2</v>
      </c>
      <c r="AN43" s="32">
        <f t="shared" si="10"/>
        <v>1602.2</v>
      </c>
      <c r="AO43" s="32">
        <f t="shared" si="10"/>
        <v>3734.2</v>
      </c>
      <c r="AP43" s="32">
        <f t="shared" si="10"/>
        <v>2420.4</v>
      </c>
      <c r="AQ43" s="32">
        <f t="shared" si="10"/>
        <v>2428</v>
      </c>
      <c r="AR43" s="32">
        <f t="shared" si="10"/>
        <v>51956.68</v>
      </c>
      <c r="AS43" s="32">
        <f t="shared" si="10"/>
        <v>2410</v>
      </c>
      <c r="AT43" s="32">
        <f t="shared" si="10"/>
        <v>2386.65</v>
      </c>
      <c r="AU43" s="32">
        <f t="shared" si="10"/>
        <v>150</v>
      </c>
      <c r="AV43" s="32">
        <f t="shared" si="10"/>
        <v>0</v>
      </c>
      <c r="AW43" s="32">
        <f t="shared" si="10"/>
        <v>0</v>
      </c>
      <c r="AX43" s="32">
        <f t="shared" si="10"/>
        <v>355</v>
      </c>
      <c r="AY43" s="32">
        <f t="shared" si="10"/>
        <v>355</v>
      </c>
      <c r="AZ43" s="32">
        <f t="shared" si="10"/>
        <v>355</v>
      </c>
      <c r="BA43" s="32">
        <f t="shared" si="10"/>
        <v>550</v>
      </c>
      <c r="BB43" s="32">
        <f t="shared" si="10"/>
        <v>300</v>
      </c>
      <c r="BC43" s="32">
        <f t="shared" si="10"/>
        <v>300</v>
      </c>
      <c r="BD43" s="32">
        <f t="shared" ref="BD43:BF43" si="11">SUM(BD4:BD42)</f>
        <v>1878.8</v>
      </c>
      <c r="BE43" s="32">
        <f t="shared" si="11"/>
        <v>2080.4</v>
      </c>
      <c r="BF43" s="32">
        <f t="shared" si="11"/>
        <v>2080.4</v>
      </c>
      <c r="BG43" s="32">
        <f t="shared" si="10"/>
        <v>5600.2</v>
      </c>
      <c r="BH43" s="32">
        <f t="shared" si="10"/>
        <v>5375.1</v>
      </c>
      <c r="BI43" s="32">
        <f t="shared" si="10"/>
        <v>5375.1</v>
      </c>
      <c r="BJ43" s="32">
        <f t="shared" si="10"/>
        <v>127154.19500000001</v>
      </c>
      <c r="BK43" s="32">
        <f t="shared" si="10"/>
        <v>2367.1999999999998</v>
      </c>
      <c r="BL43" s="32">
        <f t="shared" si="10"/>
        <v>2367.1999999999998</v>
      </c>
      <c r="BM43" s="32">
        <f t="shared" si="10"/>
        <v>300</v>
      </c>
      <c r="BN43" s="32">
        <f t="shared" si="10"/>
        <v>0</v>
      </c>
      <c r="BO43" s="32">
        <f t="shared" si="10"/>
        <v>0</v>
      </c>
      <c r="BP43" s="32">
        <f t="shared" ref="BP43:BR43" si="12">SUM(BP4:BP42)</f>
        <v>4546.32</v>
      </c>
      <c r="BQ43" s="32">
        <f t="shared" si="12"/>
        <v>0</v>
      </c>
      <c r="BR43" s="32">
        <f t="shared" si="12"/>
        <v>11942.64</v>
      </c>
      <c r="BS43" s="32">
        <f t="shared" ref="BS43:BU43" si="13">SUM(BS4:BS42)</f>
        <v>804.779</v>
      </c>
      <c r="BT43" s="32">
        <f t="shared" si="13"/>
        <v>69.2</v>
      </c>
      <c r="BU43" s="32">
        <f t="shared" si="13"/>
        <v>69.2</v>
      </c>
      <c r="BV43" s="32">
        <f t="shared" si="10"/>
        <v>41890.803</v>
      </c>
      <c r="BW43" s="32">
        <f t="shared" si="10"/>
        <v>8024.9000000000005</v>
      </c>
      <c r="BX43" s="32">
        <f t="shared" ref="BX43:DZ43" si="14">SUM(BX4:BX42)</f>
        <v>8083.05</v>
      </c>
      <c r="BY43" s="32">
        <f t="shared" si="14"/>
        <v>578.19000000000005</v>
      </c>
      <c r="BZ43" s="32">
        <f t="shared" si="14"/>
        <v>1757.5</v>
      </c>
      <c r="CA43" s="32">
        <f t="shared" ref="CA43" si="15">SUM(CA4:CA42)</f>
        <v>1588.8150000000001</v>
      </c>
      <c r="CB43" s="32">
        <f t="shared" si="14"/>
        <v>0</v>
      </c>
      <c r="CC43" s="32">
        <f t="shared" si="14"/>
        <v>74</v>
      </c>
      <c r="CD43" s="32">
        <f t="shared" si="14"/>
        <v>90.7</v>
      </c>
      <c r="CE43" s="32">
        <f t="shared" si="14"/>
        <v>15605.3</v>
      </c>
      <c r="CF43" s="32">
        <f t="shared" si="14"/>
        <v>15605.3</v>
      </c>
      <c r="CG43" s="32">
        <f t="shared" si="14"/>
        <v>15605.3</v>
      </c>
      <c r="CH43" s="32">
        <f t="shared" si="14"/>
        <v>50439.4</v>
      </c>
      <c r="CI43" s="32">
        <f t="shared" si="14"/>
        <v>50470.2</v>
      </c>
      <c r="CJ43" s="32">
        <f t="shared" si="14"/>
        <v>50701.9</v>
      </c>
      <c r="CK43" s="32">
        <f t="shared" si="14"/>
        <v>40212.806000000004</v>
      </c>
      <c r="CL43" s="32">
        <f t="shared" si="14"/>
        <v>38635.073999999993</v>
      </c>
      <c r="CM43" s="32">
        <f t="shared" si="14"/>
        <v>36396.874000000003</v>
      </c>
      <c r="CN43" s="32">
        <f t="shared" si="14"/>
        <v>67738.899999999994</v>
      </c>
      <c r="CO43" s="32">
        <f t="shared" si="14"/>
        <v>68743</v>
      </c>
      <c r="CP43" s="32">
        <f t="shared" si="14"/>
        <v>60855.200000000004</v>
      </c>
      <c r="CQ43" s="32">
        <f t="shared" si="14"/>
        <v>70</v>
      </c>
      <c r="CR43" s="32">
        <f t="shared" si="14"/>
        <v>0</v>
      </c>
      <c r="CS43" s="32">
        <f t="shared" si="14"/>
        <v>0</v>
      </c>
      <c r="CT43" s="32">
        <f t="shared" si="14"/>
        <v>910</v>
      </c>
      <c r="CU43" s="32">
        <f t="shared" si="14"/>
        <v>910</v>
      </c>
      <c r="CV43" s="32">
        <f t="shared" si="14"/>
        <v>910</v>
      </c>
      <c r="CW43" s="32">
        <f t="shared" si="14"/>
        <v>11346.349999999999</v>
      </c>
      <c r="CX43" s="32">
        <f t="shared" si="14"/>
        <v>8471.2999999999993</v>
      </c>
      <c r="CY43" s="32">
        <f t="shared" si="14"/>
        <v>8525.2000000000007</v>
      </c>
      <c r="CZ43" s="32">
        <f t="shared" si="14"/>
        <v>345.6</v>
      </c>
      <c r="DA43" s="32">
        <f t="shared" si="14"/>
        <v>186.2</v>
      </c>
      <c r="DB43" s="32">
        <f t="shared" si="14"/>
        <v>194.2</v>
      </c>
      <c r="DC43" s="32">
        <f t="shared" si="14"/>
        <v>9684.9</v>
      </c>
      <c r="DD43" s="32">
        <f t="shared" si="14"/>
        <v>8438.7000000000007</v>
      </c>
      <c r="DE43" s="32">
        <f t="shared" si="14"/>
        <v>9658.8999999999978</v>
      </c>
      <c r="DF43" s="32">
        <f t="shared" si="14"/>
        <v>834.5</v>
      </c>
      <c r="DG43" s="32">
        <f t="shared" si="14"/>
        <v>13211.8</v>
      </c>
      <c r="DH43" s="32">
        <f t="shared" si="14"/>
        <v>26615.1</v>
      </c>
      <c r="DI43" s="32">
        <f t="shared" si="14"/>
        <v>142.03399999999999</v>
      </c>
      <c r="DJ43" s="32">
        <f t="shared" si="14"/>
        <v>142.03399999999999</v>
      </c>
      <c r="DK43" s="32">
        <f t="shared" si="14"/>
        <v>142.03399999999999</v>
      </c>
      <c r="DL43" s="32">
        <f t="shared" si="14"/>
        <v>112.2</v>
      </c>
      <c r="DM43" s="32">
        <f t="shared" si="14"/>
        <v>0</v>
      </c>
      <c r="DN43" s="32">
        <f t="shared" si="14"/>
        <v>0</v>
      </c>
      <c r="DO43" s="32">
        <f t="shared" si="14"/>
        <v>3760.7130000000002</v>
      </c>
      <c r="DP43" s="32">
        <f t="shared" si="14"/>
        <v>1800</v>
      </c>
      <c r="DQ43" s="32">
        <f t="shared" si="14"/>
        <v>1800</v>
      </c>
      <c r="DR43" s="32">
        <f t="shared" si="14"/>
        <v>0</v>
      </c>
      <c r="DS43" s="32">
        <f t="shared" si="14"/>
        <v>0</v>
      </c>
      <c r="DT43" s="32">
        <f t="shared" si="14"/>
        <v>0</v>
      </c>
      <c r="DU43" s="32">
        <f t="shared" si="14"/>
        <v>189.38399999999999</v>
      </c>
      <c r="DV43" s="32">
        <f t="shared" si="14"/>
        <v>189.38399999999999</v>
      </c>
      <c r="DW43" s="32">
        <f t="shared" si="14"/>
        <v>189.38399999999999</v>
      </c>
      <c r="DX43" s="189">
        <f t="shared" si="14"/>
        <v>909019.49300000002</v>
      </c>
      <c r="DY43" s="189">
        <f t="shared" si="14"/>
        <v>603135.87599999993</v>
      </c>
      <c r="DZ43" s="189">
        <f t="shared" si="14"/>
        <v>632268.65099999995</v>
      </c>
    </row>
    <row r="44" spans="1:130">
      <c r="BM44" s="125"/>
      <c r="BN44" s="125"/>
      <c r="BO44" s="125"/>
      <c r="BP44" s="125"/>
      <c r="BQ44" s="125"/>
      <c r="BR44" s="125"/>
      <c r="BS44" s="125"/>
      <c r="BT44" s="125"/>
      <c r="BU44" s="125"/>
      <c r="BV44" s="125"/>
      <c r="BW44" s="125"/>
      <c r="BX44" s="125"/>
      <c r="BY44" s="125"/>
      <c r="BZ44" s="125"/>
      <c r="CA44" s="125"/>
      <c r="CB44" s="125"/>
      <c r="CC44" s="125"/>
      <c r="CD44" s="125"/>
      <c r="CH44" s="126"/>
      <c r="CI44" s="126"/>
      <c r="CJ44" s="126"/>
      <c r="CK44" s="126"/>
      <c r="CL44" s="126"/>
      <c r="CM44" s="126"/>
      <c r="CN44" s="126"/>
      <c r="CO44" s="126"/>
      <c r="CP44" s="126"/>
      <c r="CQ44" s="126"/>
      <c r="CR44" s="126"/>
      <c r="CS44" s="126"/>
      <c r="CT44" s="126"/>
      <c r="CU44" s="126"/>
      <c r="CV44" s="126"/>
      <c r="CW44" s="126"/>
      <c r="CX44" s="126"/>
      <c r="CY44" s="126"/>
      <c r="CZ44" s="126"/>
      <c r="DA44" s="126"/>
      <c r="DB44" s="126"/>
      <c r="DC44" s="126"/>
      <c r="DD44" s="126"/>
      <c r="DE44" s="126"/>
      <c r="DF44" s="127">
        <f>SUM(CK43:DF43)</f>
        <v>373067.70400000003</v>
      </c>
      <c r="DG44" s="127"/>
      <c r="DH44" s="127"/>
      <c r="DI44" s="127"/>
      <c r="DJ44" s="127"/>
      <c r="DK44" s="127"/>
      <c r="DL44" s="126">
        <f>DL43</f>
        <v>112.2</v>
      </c>
      <c r="DM44" s="126"/>
      <c r="DN44" s="126"/>
      <c r="DO44" s="127"/>
      <c r="DP44" s="127"/>
      <c r="DQ44" s="127"/>
      <c r="DR44" s="127"/>
      <c r="DS44" s="127"/>
      <c r="DT44" s="127"/>
      <c r="DU44" s="126">
        <f>SUM(DO43:DU43)</f>
        <v>7550.0969999999998</v>
      </c>
      <c r="DV44" s="126"/>
      <c r="DW44" s="126"/>
      <c r="DY44" s="126"/>
    </row>
  </sheetData>
  <mergeCells count="43">
    <mergeCell ref="BM2:BO2"/>
    <mergeCell ref="B2:D2"/>
    <mergeCell ref="AO2:AQ2"/>
    <mergeCell ref="Q2:S2"/>
    <mergeCell ref="CB2:CD2"/>
    <mergeCell ref="AX2:AZ2"/>
    <mergeCell ref="AU2:AW2"/>
    <mergeCell ref="K2:M2"/>
    <mergeCell ref="N2:P2"/>
    <mergeCell ref="H2:J2"/>
    <mergeCell ref="BA2:BC2"/>
    <mergeCell ref="AF2:AH2"/>
    <mergeCell ref="AR2:AT2"/>
    <mergeCell ref="BV2:BX2"/>
    <mergeCell ref="E2:G2"/>
    <mergeCell ref="AL2:AN2"/>
    <mergeCell ref="CK2:CM2"/>
    <mergeCell ref="CN2:CP2"/>
    <mergeCell ref="CT2:CV2"/>
    <mergeCell ref="DF2:DH2"/>
    <mergeCell ref="DC2:DE2"/>
    <mergeCell ref="CZ2:DB2"/>
    <mergeCell ref="T2:V2"/>
    <mergeCell ref="W2:Y2"/>
    <mergeCell ref="Z2:AB2"/>
    <mergeCell ref="AI2:AK2"/>
    <mergeCell ref="AC2:AE2"/>
    <mergeCell ref="BD2:BF2"/>
    <mergeCell ref="BY2:CA2"/>
    <mergeCell ref="BP2:BR2"/>
    <mergeCell ref="BS2:BU2"/>
    <mergeCell ref="DX2:DZ2"/>
    <mergeCell ref="DU2:DW2"/>
    <mergeCell ref="DR2:DT2"/>
    <mergeCell ref="CH2:CJ2"/>
    <mergeCell ref="CE2:CG2"/>
    <mergeCell ref="CW2:CY2"/>
    <mergeCell ref="DO2:DQ2"/>
    <mergeCell ref="BG2:BI2"/>
    <mergeCell ref="BJ2:BL2"/>
    <mergeCell ref="CQ2:CS2"/>
    <mergeCell ref="DL2:DN2"/>
    <mergeCell ref="DI2:DK2"/>
  </mergeCells>
  <pageMargins left="0.31496062992125984" right="0" top="1.1417322834645669" bottom="0.19685039370078741" header="0.31496062992125984" footer="0.31496062992125984"/>
  <pageSetup paperSize="9" scale="75" orientation="landscape" r:id="rId1"/>
  <colBreaks count="3" manualBreakCount="3">
    <brk id="22" max="1048575" man="1"/>
    <brk id="43" max="1048575" man="1"/>
    <brk id="122" max="43" man="1"/>
  </colBreaks>
</worksheet>
</file>

<file path=xl/worksheets/sheet4.xml><?xml version="1.0" encoding="utf-8"?>
<worksheet xmlns="http://schemas.openxmlformats.org/spreadsheetml/2006/main" xmlns:r="http://schemas.openxmlformats.org/officeDocument/2006/relationships">
  <dimension ref="A2:J30"/>
  <sheetViews>
    <sheetView workbookViewId="0">
      <selection activeCell="F28" sqref="F28"/>
    </sheetView>
  </sheetViews>
  <sheetFormatPr defaultRowHeight="12.75"/>
  <cols>
    <col min="1" max="1" width="17.85546875" style="515" customWidth="1"/>
    <col min="2" max="5" width="10.140625" bestFit="1" customWidth="1"/>
    <col min="6" max="7" width="10.140625" style="33" bestFit="1" customWidth="1"/>
    <col min="8" max="10" width="11.7109375" customWidth="1"/>
  </cols>
  <sheetData>
    <row r="2" spans="1:10" s="515" customFormat="1">
      <c r="A2" s="516"/>
      <c r="B2" s="669" t="s">
        <v>377</v>
      </c>
      <c r="C2" s="669"/>
      <c r="D2" s="669"/>
      <c r="E2" s="669" t="s">
        <v>580</v>
      </c>
      <c r="F2" s="670"/>
      <c r="G2" s="670"/>
      <c r="H2" s="669" t="s">
        <v>1445</v>
      </c>
      <c r="I2" s="670"/>
      <c r="J2" s="670"/>
    </row>
    <row r="3" spans="1:10">
      <c r="A3" s="516"/>
      <c r="B3" s="517">
        <v>2021</v>
      </c>
      <c r="C3" s="517">
        <v>2022</v>
      </c>
      <c r="D3" s="517">
        <v>2023</v>
      </c>
      <c r="E3" s="517">
        <v>2021</v>
      </c>
      <c r="F3" s="523">
        <v>2022</v>
      </c>
      <c r="G3" s="523">
        <v>2023</v>
      </c>
      <c r="H3" s="517">
        <v>2021</v>
      </c>
      <c r="I3" s="517">
        <v>2022</v>
      </c>
      <c r="J3" s="517">
        <v>2023</v>
      </c>
    </row>
    <row r="4" spans="1:10">
      <c r="A4" s="520" t="s">
        <v>1446</v>
      </c>
      <c r="B4" s="518">
        <v>4534.6000000000004</v>
      </c>
      <c r="C4" s="518">
        <v>4391</v>
      </c>
      <c r="D4" s="518">
        <v>4391</v>
      </c>
      <c r="E4" s="518">
        <v>3566.5</v>
      </c>
      <c r="F4" s="524">
        <v>3710.1</v>
      </c>
      <c r="G4" s="524">
        <v>3710.1</v>
      </c>
      <c r="H4" s="518">
        <f>B4+E4</f>
        <v>8101.1</v>
      </c>
      <c r="I4" s="518">
        <f t="shared" ref="I4:J4" si="0">C4+F4</f>
        <v>8101.1</v>
      </c>
      <c r="J4" s="518">
        <f t="shared" si="0"/>
        <v>8101.1</v>
      </c>
    </row>
    <row r="5" spans="1:10">
      <c r="A5" s="520" t="s">
        <v>1447</v>
      </c>
      <c r="B5" s="518">
        <v>406.44400000000002</v>
      </c>
      <c r="C5" s="518">
        <v>398.63200000000001</v>
      </c>
      <c r="D5" s="518">
        <v>398.63200000000001</v>
      </c>
      <c r="E5" s="518">
        <v>609.55600000000004</v>
      </c>
      <c r="F5" s="524">
        <v>617.36800000000005</v>
      </c>
      <c r="G5" s="524">
        <v>617.36800000000005</v>
      </c>
      <c r="H5" s="518">
        <f t="shared" ref="H5:H27" si="1">B5+E5</f>
        <v>1016</v>
      </c>
      <c r="I5" s="518">
        <f t="shared" ref="I5:I27" si="2">C5+F5</f>
        <v>1016</v>
      </c>
      <c r="J5" s="518">
        <f t="shared" ref="J5:J27" si="3">D5+G5</f>
        <v>1016</v>
      </c>
    </row>
    <row r="6" spans="1:10">
      <c r="A6" s="520" t="s">
        <v>1448</v>
      </c>
      <c r="B6" s="518">
        <v>2359.3780000000002</v>
      </c>
      <c r="C6" s="518">
        <v>0</v>
      </c>
      <c r="D6" s="518">
        <v>0</v>
      </c>
      <c r="E6" s="518">
        <v>2367.029</v>
      </c>
      <c r="F6" s="524">
        <v>0</v>
      </c>
      <c r="G6" s="524">
        <v>0</v>
      </c>
      <c r="H6" s="518">
        <f t="shared" si="1"/>
        <v>4726.4070000000002</v>
      </c>
      <c r="I6" s="518">
        <f t="shared" si="2"/>
        <v>0</v>
      </c>
      <c r="J6" s="518">
        <f t="shared" si="3"/>
        <v>0</v>
      </c>
    </row>
    <row r="7" spans="1:10">
      <c r="A7" s="520" t="s">
        <v>1449</v>
      </c>
      <c r="B7" s="518">
        <v>2200</v>
      </c>
      <c r="C7" s="518">
        <v>0</v>
      </c>
      <c r="D7" s="518">
        <v>0</v>
      </c>
      <c r="E7" s="518">
        <v>1350</v>
      </c>
      <c r="F7" s="524">
        <v>0</v>
      </c>
      <c r="G7" s="524">
        <v>0</v>
      </c>
      <c r="H7" s="518">
        <f t="shared" si="1"/>
        <v>3550</v>
      </c>
      <c r="I7" s="518">
        <f t="shared" si="2"/>
        <v>0</v>
      </c>
      <c r="J7" s="518">
        <f t="shared" si="3"/>
        <v>0</v>
      </c>
    </row>
    <row r="8" spans="1:10">
      <c r="A8" s="520" t="s">
        <v>1448</v>
      </c>
      <c r="B8" s="518">
        <v>2200</v>
      </c>
      <c r="C8" s="518">
        <v>0</v>
      </c>
      <c r="D8" s="518">
        <v>0</v>
      </c>
      <c r="E8" s="518">
        <v>1350</v>
      </c>
      <c r="F8" s="524">
        <v>0</v>
      </c>
      <c r="G8" s="524">
        <v>0</v>
      </c>
      <c r="H8" s="518">
        <f t="shared" si="1"/>
        <v>3550</v>
      </c>
      <c r="I8" s="518">
        <f t="shared" si="2"/>
        <v>0</v>
      </c>
      <c r="J8" s="518">
        <f t="shared" si="3"/>
        <v>0</v>
      </c>
    </row>
    <row r="9" spans="1:10">
      <c r="A9" s="520" t="s">
        <v>1450</v>
      </c>
      <c r="B9" s="518">
        <v>646.65</v>
      </c>
      <c r="C9" s="518">
        <v>0</v>
      </c>
      <c r="D9" s="518">
        <v>0</v>
      </c>
      <c r="E9" s="518">
        <v>646.65</v>
      </c>
      <c r="F9" s="524">
        <v>0</v>
      </c>
      <c r="G9" s="524">
        <v>0</v>
      </c>
      <c r="H9" s="518">
        <f t="shared" si="1"/>
        <v>1293.3</v>
      </c>
      <c r="I9" s="518">
        <f t="shared" si="2"/>
        <v>0</v>
      </c>
      <c r="J9" s="518">
        <f t="shared" si="3"/>
        <v>0</v>
      </c>
    </row>
    <row r="10" spans="1:10">
      <c r="A10" s="520" t="s">
        <v>1451</v>
      </c>
      <c r="B10" s="518">
        <v>870.8</v>
      </c>
      <c r="C10" s="518">
        <v>870.8</v>
      </c>
      <c r="D10" s="518">
        <v>870.8</v>
      </c>
      <c r="E10" s="518">
        <v>0</v>
      </c>
      <c r="F10" s="524">
        <v>0</v>
      </c>
      <c r="G10" s="524">
        <v>0</v>
      </c>
      <c r="H10" s="518">
        <f t="shared" si="1"/>
        <v>870.8</v>
      </c>
      <c r="I10" s="518">
        <f t="shared" si="2"/>
        <v>870.8</v>
      </c>
      <c r="J10" s="518">
        <f t="shared" si="3"/>
        <v>870.8</v>
      </c>
    </row>
    <row r="11" spans="1:10">
      <c r="A11" s="520" t="s">
        <v>1452</v>
      </c>
      <c r="B11" s="518">
        <v>899.00099999999998</v>
      </c>
      <c r="C11" s="518">
        <v>679</v>
      </c>
      <c r="D11" s="518">
        <v>1054</v>
      </c>
      <c r="E11" s="518">
        <v>210.999</v>
      </c>
      <c r="F11" s="524">
        <v>431</v>
      </c>
      <c r="G11" s="524">
        <v>56</v>
      </c>
      <c r="H11" s="518">
        <f t="shared" si="1"/>
        <v>1110</v>
      </c>
      <c r="I11" s="518">
        <f t="shared" si="2"/>
        <v>1110</v>
      </c>
      <c r="J11" s="518">
        <f t="shared" si="3"/>
        <v>1110</v>
      </c>
    </row>
    <row r="12" spans="1:10">
      <c r="A12" s="520" t="s">
        <v>1453</v>
      </c>
      <c r="B12" s="518">
        <v>11571.289000000001</v>
      </c>
      <c r="C12" s="518">
        <v>9014.5</v>
      </c>
      <c r="D12" s="518">
        <v>8431.7240000000002</v>
      </c>
      <c r="E12" s="518">
        <v>5210.0860000000002</v>
      </c>
      <c r="F12" s="524">
        <v>9014.5</v>
      </c>
      <c r="G12" s="524">
        <v>8431.7240000000002</v>
      </c>
      <c r="H12" s="518">
        <f t="shared" si="1"/>
        <v>16781.375</v>
      </c>
      <c r="I12" s="518">
        <f t="shared" si="2"/>
        <v>18029</v>
      </c>
      <c r="J12" s="518">
        <f t="shared" si="3"/>
        <v>16863.448</v>
      </c>
    </row>
    <row r="13" spans="1:10">
      <c r="A13" s="520" t="s">
        <v>1454</v>
      </c>
      <c r="B13" s="518">
        <v>2370.0230000000001</v>
      </c>
      <c r="C13" s="518">
        <v>1346.9939999999999</v>
      </c>
      <c r="D13" s="518">
        <v>1259.913</v>
      </c>
      <c r="E13" s="518">
        <v>1067.126</v>
      </c>
      <c r="F13" s="524">
        <v>1346.9939999999999</v>
      </c>
      <c r="G13" s="524">
        <v>1259.913</v>
      </c>
      <c r="H13" s="518">
        <f t="shared" si="1"/>
        <v>3437.1490000000003</v>
      </c>
      <c r="I13" s="518">
        <f t="shared" si="2"/>
        <v>2693.9879999999998</v>
      </c>
      <c r="J13" s="518">
        <f t="shared" si="3"/>
        <v>2519.826</v>
      </c>
    </row>
    <row r="14" spans="1:10">
      <c r="A14" s="520" t="s">
        <v>1455</v>
      </c>
      <c r="B14" s="518">
        <v>20311.2</v>
      </c>
      <c r="C14" s="518">
        <v>21170.52</v>
      </c>
      <c r="D14" s="518">
        <v>21014.28</v>
      </c>
      <c r="E14" s="518">
        <v>21717.362000000001</v>
      </c>
      <c r="F14" s="524">
        <v>21170.52</v>
      </c>
      <c r="G14" s="524">
        <v>21014.28</v>
      </c>
      <c r="H14" s="518">
        <f t="shared" si="1"/>
        <v>42028.562000000005</v>
      </c>
      <c r="I14" s="518">
        <f t="shared" si="2"/>
        <v>42341.04</v>
      </c>
      <c r="J14" s="518">
        <f t="shared" si="3"/>
        <v>42028.56</v>
      </c>
    </row>
    <row r="15" spans="1:10">
      <c r="A15" s="520" t="s">
        <v>1456</v>
      </c>
      <c r="B15" s="518">
        <v>760.83799999999997</v>
      </c>
      <c r="C15" s="518">
        <v>760.84199999999998</v>
      </c>
      <c r="D15" s="518">
        <v>1521.45</v>
      </c>
      <c r="E15" s="518">
        <v>760.83799999999997</v>
      </c>
      <c r="F15" s="524">
        <v>760.84199999999998</v>
      </c>
      <c r="G15" s="524">
        <v>1521.45</v>
      </c>
      <c r="H15" s="518">
        <f t="shared" si="1"/>
        <v>1521.6759999999999</v>
      </c>
      <c r="I15" s="518">
        <f t="shared" si="2"/>
        <v>1521.684</v>
      </c>
      <c r="J15" s="518">
        <f t="shared" si="3"/>
        <v>3042.9</v>
      </c>
    </row>
    <row r="16" spans="1:10">
      <c r="A16" s="520" t="s">
        <v>1457</v>
      </c>
      <c r="B16" s="518">
        <v>23.530999999999999</v>
      </c>
      <c r="C16" s="518">
        <v>23.530999999999999</v>
      </c>
      <c r="D16" s="518">
        <v>47.055</v>
      </c>
      <c r="E16" s="518">
        <v>23.530999999999999</v>
      </c>
      <c r="F16" s="524">
        <v>23.530999999999999</v>
      </c>
      <c r="G16" s="524">
        <v>47.055</v>
      </c>
      <c r="H16" s="518">
        <f t="shared" si="1"/>
        <v>47.061999999999998</v>
      </c>
      <c r="I16" s="518">
        <f t="shared" si="2"/>
        <v>47.061999999999998</v>
      </c>
      <c r="J16" s="518">
        <f t="shared" si="3"/>
        <v>94.11</v>
      </c>
    </row>
    <row r="17" spans="1:10">
      <c r="A17" s="520" t="s">
        <v>1458</v>
      </c>
      <c r="B17" s="518">
        <v>0</v>
      </c>
      <c r="C17" s="518">
        <v>0</v>
      </c>
      <c r="D17" s="518">
        <v>4044</v>
      </c>
      <c r="E17" s="518">
        <v>0</v>
      </c>
      <c r="F17" s="524">
        <v>0</v>
      </c>
      <c r="G17" s="524">
        <v>4044</v>
      </c>
      <c r="H17" s="518">
        <f t="shared" si="1"/>
        <v>0</v>
      </c>
      <c r="I17" s="518">
        <f t="shared" si="2"/>
        <v>0</v>
      </c>
      <c r="J17" s="518">
        <f t="shared" si="3"/>
        <v>8088</v>
      </c>
    </row>
    <row r="18" spans="1:10">
      <c r="A18" s="520" t="s">
        <v>1459</v>
      </c>
      <c r="B18" s="518">
        <v>1656.7729999999999</v>
      </c>
      <c r="C18" s="518">
        <v>0</v>
      </c>
      <c r="D18" s="518">
        <v>0</v>
      </c>
      <c r="E18" s="518">
        <v>449.47899999999998</v>
      </c>
      <c r="F18" s="524">
        <v>0</v>
      </c>
      <c r="G18" s="524">
        <v>0</v>
      </c>
      <c r="H18" s="518">
        <f t="shared" si="1"/>
        <v>2106.252</v>
      </c>
      <c r="I18" s="518">
        <f t="shared" si="2"/>
        <v>0</v>
      </c>
      <c r="J18" s="518">
        <f t="shared" si="3"/>
        <v>0</v>
      </c>
    </row>
    <row r="19" spans="1:10">
      <c r="A19" s="520" t="s">
        <v>1460</v>
      </c>
      <c r="B19" s="518">
        <v>51.24</v>
      </c>
      <c r="C19" s="518">
        <v>0</v>
      </c>
      <c r="D19" s="518">
        <v>0</v>
      </c>
      <c r="E19" s="518">
        <v>13.901</v>
      </c>
      <c r="F19" s="524">
        <v>0</v>
      </c>
      <c r="G19" s="524">
        <v>0</v>
      </c>
      <c r="H19" s="518">
        <f t="shared" si="1"/>
        <v>65.141000000000005</v>
      </c>
      <c r="I19" s="518">
        <f t="shared" si="2"/>
        <v>0</v>
      </c>
      <c r="J19" s="518">
        <f t="shared" si="3"/>
        <v>0</v>
      </c>
    </row>
    <row r="20" spans="1:10">
      <c r="A20" s="520" t="s">
        <v>1461</v>
      </c>
      <c r="B20" s="518">
        <v>1227.335</v>
      </c>
      <c r="C20" s="518">
        <v>620.5</v>
      </c>
      <c r="D20" s="518">
        <v>888.05</v>
      </c>
      <c r="E20" s="518">
        <v>2048.3649999999998</v>
      </c>
      <c r="F20" s="524">
        <v>620.5</v>
      </c>
      <c r="G20" s="524">
        <v>888.05</v>
      </c>
      <c r="H20" s="518">
        <f t="shared" si="1"/>
        <v>3275.7</v>
      </c>
      <c r="I20" s="518">
        <f t="shared" si="2"/>
        <v>1241</v>
      </c>
      <c r="J20" s="518">
        <f t="shared" si="3"/>
        <v>1776.1</v>
      </c>
    </row>
    <row r="21" spans="1:10">
      <c r="A21" s="520" t="s">
        <v>1462</v>
      </c>
      <c r="B21" s="518">
        <v>3685.127</v>
      </c>
      <c r="C21" s="518">
        <v>768.43899999999996</v>
      </c>
      <c r="D21" s="518">
        <v>1516.77</v>
      </c>
      <c r="E21" s="518">
        <v>3685.127</v>
      </c>
      <c r="F21" s="524">
        <v>768.43899999999996</v>
      </c>
      <c r="G21" s="524">
        <v>1516.77</v>
      </c>
      <c r="H21" s="518">
        <f t="shared" si="1"/>
        <v>7370.2539999999999</v>
      </c>
      <c r="I21" s="518">
        <f t="shared" si="2"/>
        <v>1536.8779999999999</v>
      </c>
      <c r="J21" s="518">
        <f t="shared" si="3"/>
        <v>3033.54</v>
      </c>
    </row>
    <row r="22" spans="1:10">
      <c r="A22" s="520" t="s">
        <v>1463</v>
      </c>
      <c r="B22" s="518">
        <v>113.973</v>
      </c>
      <c r="C22" s="518">
        <v>23.765999999999998</v>
      </c>
      <c r="D22" s="518">
        <v>46.911000000000001</v>
      </c>
      <c r="E22" s="518">
        <v>113.973</v>
      </c>
      <c r="F22" s="524">
        <v>23.765999999999998</v>
      </c>
      <c r="G22" s="524">
        <v>46.911000000000001</v>
      </c>
      <c r="H22" s="518">
        <f t="shared" si="1"/>
        <v>227.946</v>
      </c>
      <c r="I22" s="518">
        <f t="shared" si="2"/>
        <v>47.531999999999996</v>
      </c>
      <c r="J22" s="518">
        <f t="shared" si="3"/>
        <v>93.822000000000003</v>
      </c>
    </row>
    <row r="23" spans="1:10" ht="38.25">
      <c r="A23" s="522" t="s">
        <v>1464</v>
      </c>
      <c r="B23" s="518">
        <v>978.00800000000004</v>
      </c>
      <c r="C23" s="518">
        <v>983</v>
      </c>
      <c r="D23" s="518">
        <v>983</v>
      </c>
      <c r="E23" s="518">
        <v>0</v>
      </c>
      <c r="F23" s="524">
        <v>0</v>
      </c>
      <c r="G23" s="524">
        <v>0</v>
      </c>
      <c r="H23" s="518">
        <f t="shared" si="1"/>
        <v>978.00800000000004</v>
      </c>
      <c r="I23" s="518">
        <f t="shared" si="2"/>
        <v>983</v>
      </c>
      <c r="J23" s="518">
        <f t="shared" si="3"/>
        <v>983</v>
      </c>
    </row>
    <row r="24" spans="1:10">
      <c r="A24" s="520" t="s">
        <v>1465</v>
      </c>
      <c r="B24" s="518">
        <v>23890.149000000001</v>
      </c>
      <c r="C24" s="518">
        <v>23907.8</v>
      </c>
      <c r="D24" s="518">
        <v>24398.1</v>
      </c>
      <c r="E24" s="518">
        <v>38814.949999999997</v>
      </c>
      <c r="F24" s="524">
        <v>38889.1</v>
      </c>
      <c r="G24" s="524">
        <v>39808.300000000003</v>
      </c>
      <c r="H24" s="518">
        <f t="shared" si="1"/>
        <v>62705.099000000002</v>
      </c>
      <c r="I24" s="518">
        <f t="shared" si="2"/>
        <v>62796.899999999994</v>
      </c>
      <c r="J24" s="518">
        <f t="shared" si="3"/>
        <v>64206.400000000001</v>
      </c>
    </row>
    <row r="25" spans="1:10">
      <c r="A25" s="520" t="s">
        <v>1466</v>
      </c>
      <c r="B25" s="518">
        <v>2691.2449999999999</v>
      </c>
      <c r="C25" s="518">
        <v>0</v>
      </c>
      <c r="D25" s="518">
        <v>0</v>
      </c>
      <c r="E25" s="518">
        <v>2107.3000000000002</v>
      </c>
      <c r="F25" s="524">
        <v>0</v>
      </c>
      <c r="G25" s="524">
        <v>0</v>
      </c>
      <c r="H25" s="518">
        <f t="shared" si="1"/>
        <v>4798.5450000000001</v>
      </c>
      <c r="I25" s="518">
        <f t="shared" si="2"/>
        <v>0</v>
      </c>
      <c r="J25" s="518">
        <f t="shared" si="3"/>
        <v>0</v>
      </c>
    </row>
    <row r="26" spans="1:10">
      <c r="A26" s="520" t="s">
        <v>1467</v>
      </c>
      <c r="B26" s="518">
        <v>1717.008</v>
      </c>
      <c r="C26" s="518">
        <v>1867.5</v>
      </c>
      <c r="D26" s="518">
        <v>1867.5</v>
      </c>
      <c r="E26" s="518">
        <v>1444.992</v>
      </c>
      <c r="F26" s="524">
        <v>1294.5</v>
      </c>
      <c r="G26" s="524">
        <v>1294.5</v>
      </c>
      <c r="H26" s="518">
        <f t="shared" ref="H26" si="4">B26+E26</f>
        <v>3162</v>
      </c>
      <c r="I26" s="518">
        <f t="shared" ref="I26" si="5">C26+F26</f>
        <v>3162</v>
      </c>
      <c r="J26" s="518">
        <f t="shared" ref="J26" si="6">D26+G26</f>
        <v>3162</v>
      </c>
    </row>
    <row r="27" spans="1:10">
      <c r="A27" s="520" t="s">
        <v>1468</v>
      </c>
      <c r="B27" s="518">
        <v>250</v>
      </c>
      <c r="C27" s="518">
        <v>0</v>
      </c>
      <c r="D27" s="518">
        <v>0</v>
      </c>
      <c r="E27" s="518">
        <v>35</v>
      </c>
      <c r="F27" s="524">
        <v>0</v>
      </c>
      <c r="G27" s="524">
        <v>0</v>
      </c>
      <c r="H27" s="518">
        <f t="shared" si="1"/>
        <v>285</v>
      </c>
      <c r="I27" s="518">
        <f t="shared" si="2"/>
        <v>0</v>
      </c>
      <c r="J27" s="518">
        <f t="shared" si="3"/>
        <v>0</v>
      </c>
    </row>
    <row r="28" spans="1:10">
      <c r="A28" s="521"/>
      <c r="B28" s="518">
        <f>SUM(B4:B27)</f>
        <v>85414.612000000008</v>
      </c>
      <c r="C28" s="518">
        <f t="shared" ref="C28:J28" si="7">SUM(C4:C27)</f>
        <v>66826.823999999993</v>
      </c>
      <c r="D28" s="518">
        <f t="shared" si="7"/>
        <v>72733.184999999998</v>
      </c>
      <c r="E28" s="518">
        <f t="shared" si="7"/>
        <v>87592.76400000001</v>
      </c>
      <c r="F28" s="524">
        <f t="shared" si="7"/>
        <v>78671.16</v>
      </c>
      <c r="G28" s="524">
        <f t="shared" si="7"/>
        <v>84256.421000000002</v>
      </c>
      <c r="H28" s="518">
        <f t="shared" si="7"/>
        <v>173007.37600000002</v>
      </c>
      <c r="I28" s="518">
        <f t="shared" si="7"/>
        <v>145497.984</v>
      </c>
      <c r="J28" s="518">
        <f t="shared" si="7"/>
        <v>156989.606</v>
      </c>
    </row>
    <row r="29" spans="1:10">
      <c r="A29" s="521"/>
      <c r="B29" s="518"/>
      <c r="C29" s="518"/>
      <c r="D29" s="518"/>
      <c r="E29" s="518"/>
      <c r="F29" s="524"/>
      <c r="G29" s="524"/>
      <c r="H29" s="518"/>
      <c r="I29" s="518"/>
      <c r="J29" s="518"/>
    </row>
    <row r="30" spans="1:10">
      <c r="A30" s="519"/>
    </row>
  </sheetData>
  <mergeCells count="3">
    <mergeCell ref="B2:D2"/>
    <mergeCell ref="E2:G2"/>
    <mergeCell ref="H2:J2"/>
  </mergeCells>
  <pageMargins left="0.39370078740157483" right="0" top="0.94488188976377963" bottom="0.7480314960629921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frmRRO4</vt:lpstr>
      <vt:lpstr>план 2020 (план, факт)</vt:lpstr>
      <vt:lpstr>план 2021</vt:lpstr>
      <vt:lpstr>Лист2</vt:lpstr>
      <vt:lpstr>frmRRO4!Заголовки_для_печати</vt:lpstr>
      <vt:lpstr>'план 2021'!Заголовки_для_печати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2016-03-29T09:23:23Z</dcterms:created>
  <dcterms:modified xsi:type="dcterms:W3CDTF">2021-06-01T03:56:25Z</dcterms:modified>
</cp:coreProperties>
</file>